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_rels/sheet1.xml.rels" ContentType="application/vnd.openxmlformats-package.relationships+xml"/>
  <Override PartName="/xl/worksheets/_rels/sheet7.xml.rels" ContentType="application/vnd.openxmlformats-package.relationships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INSERÇÃO-DE-DADOS" sheetId="1" state="visible" r:id="rId3"/>
    <sheet name="DADOS-ESTATISTICOS" sheetId="2" state="visible" r:id="rId4"/>
    <sheet name="ENCARGOS-SOCIAIS-E-TRABALHISTAS" sheetId="3" state="visible" r:id="rId5"/>
    <sheet name="ENCARREGADOS" sheetId="4" state="visible" r:id="rId6"/>
    <sheet name="SERVENTES" sheetId="5" state="visible" r:id="rId7"/>
    <sheet name="SERVENTES-AREA-HOSP" sheetId="6" state="visible" r:id="rId8"/>
    <sheet name="CUSTOS POR M²" sheetId="7" state="visible" r:id="rId9"/>
    <sheet name="QUADRO-RESUMO" sheetId="8" state="visible" r:id="rId10"/>
    <sheet name="LIMITES-SEGES-PORT-7-2015" sheetId="9" state="hidden" r:id="rId11"/>
    <sheet name="LIMITES-SEGES-PORT-213-2017" sheetId="10" state="hidden" r:id="rId12"/>
    <sheet name="QTDE-ESTIMADA-SERVENTES" sheetId="11" state="hidden" r:id="rId13"/>
  </sheets>
  <definedNames>
    <definedName function="false" hidden="false" name="ACORDO_COLETIVO" vbProcedure="false">'INSERÇÃO-DE-DADOS'!$F$14</definedName>
    <definedName function="false" hidden="false" name="ADESAO_AO_PAT" vbProcedure="false">'INSERÇÃO-DE-DADOS'!$E$49</definedName>
    <definedName function="false" hidden="false" name="ADIC_INSALUB_ENC" vbProcedure="false">'INSERÇÃO-DE-DADOS'!$D$19</definedName>
    <definedName function="false" hidden="false" name="ADIC_INSALUB_SERV" vbProcedure="false">'INSERÇÃO-DE-DADOS'!$D$20</definedName>
    <definedName function="false" hidden="false" name="ADIC_INSALUB_SERV_HOSP" vbProcedure="false">'INSERÇÃO-DE-DADOS'!$D$21</definedName>
    <definedName function="false" hidden="false" name="ALIMENTACAO_POR_DIA" vbProcedure="false">'INSERÇÃO-DE-DADOS'!$F$48</definedName>
    <definedName function="false" hidden="false" name="AL_1_C_OUTROS_REM_1_SERV" vbProcedure="false">SERVENTES!$F$23</definedName>
    <definedName function="false" hidden="false" name="AL_1_D_OUTROS_REM_2_ENC" vbProcedure="false">ENCARREGADOS!$F$24</definedName>
    <definedName function="false" hidden="false" name="AL_1_D_OUTROS_REM_2_SERV" vbProcedure="false">SERVENTES!$F$24</definedName>
    <definedName function="false" hidden="false" name="AL_1_E_OUTROS_REM_3_SERV" vbProcedure="false">SERVENTES!$F$25</definedName>
    <definedName function="false" hidden="false" name="AREA_ESQ_EXTERNA_ANEXOS" vbProcedure="false">'INSERÇÃO-DE-DADOS'!$J$11</definedName>
    <definedName function="false" hidden="false" name="AREA_ESQ_EXTERNA_PTMS_PRMS" vbProcedure="false">'INSERÇÃO-DE-DADOS'!$K$11</definedName>
    <definedName function="false" hidden="false" name="AREA_ESQ_EXTERNA_SEDE" vbProcedure="false">'INSERÇÃO-DE-DADOS'!$I$11</definedName>
    <definedName function="false" hidden="false" name="AREA_ESQ_EXTERNA_TOTAL" vbProcedure="false">'INSERÇÃO-DE-DADOS'!$L$11</definedName>
    <definedName function="false" hidden="false" name="AREA_EXTERNA_ANEXOS" vbProcedure="false">'INSERÇÃO-DE-DADOS'!$J$10</definedName>
    <definedName function="false" hidden="false" name="AREA_EXTERNA_PTMS_PRMS" vbProcedure="false">'INSERÇÃO-DE-DADOS'!$K$10</definedName>
    <definedName function="false" hidden="false" name="AREA_EXTERNA_SEDE" vbProcedure="false">'INSERÇÃO-DE-DADOS'!$I$10</definedName>
    <definedName function="false" hidden="false" name="AREA_EXTERNA_TOTAL" vbProcedure="false">'INSERÇÃO-DE-DADOS'!$L$10</definedName>
    <definedName function="false" hidden="false" name="AREA_FACHADA_ENVID_ANEXOS" vbProcedure="false">'INSERÇÃO-DE-DADOS'!$J$12</definedName>
    <definedName function="false" hidden="false" name="AREA_FACHADA_ENVID_PTMS_PRMS" vbProcedure="false">'INSERÇÃO-DE-DADOS'!$K$12</definedName>
    <definedName function="false" hidden="false" name="AREA_FACHADA_ENVID_SEDE" vbProcedure="false">'INSERÇÃO-DE-DADOS'!$I$12</definedName>
    <definedName function="false" hidden="false" name="AREA_FACHADA_ENVID_TOTAL" vbProcedure="false">'INSERÇÃO-DE-DADOS'!$L$12</definedName>
    <definedName function="false" hidden="false" name="AREA_INTERNA_ANEXOS" vbProcedure="false">'INSERÇÃO-DE-DADOS'!$J$9</definedName>
    <definedName function="false" hidden="false" name="AREA_INTERNA_PTMS_PRMS" vbProcedure="false">'INSERÇÃO-DE-DADOS'!$K$9</definedName>
    <definedName function="false" hidden="false" name="AREA_INTERNA_SEDE" vbProcedure="false">'INSERÇÃO-DE-DADOS'!$I$9</definedName>
    <definedName function="false" hidden="false" name="AREA_INTERNA_TOTAL" vbProcedure="false">'INSERÇÃO-DE-DADOS'!$L$9</definedName>
    <definedName function="false" hidden="false" name="AREA_MED_HOSP_ANEXOS" vbProcedure="false">'INSERÇÃO-DE-DADOS'!$J$13</definedName>
    <definedName function="false" hidden="false" name="AREA_MED_HOSP_PTMS_PRMS" vbProcedure="false">'INSERÇÃO-DE-DADOS'!$K$13</definedName>
    <definedName function="false" hidden="false" name="AREA_MED_HOSP_SEDE" vbProcedure="false">'INSERÇÃO-DE-DADOS'!$I$13</definedName>
    <definedName function="false" hidden="false" name="AREA_MED_HOSP_TOTAL" vbProcedure="false">'INSERÇÃO-DE-DADOS'!$L$13</definedName>
    <definedName function="false" hidden="false" name="BC_ADIC_INSALUB" vbProcedure="false">'INSERÇÃO-DE-DADOS'!$F$22</definedName>
    <definedName function="false" hidden="false" name="CARGA_HORARIA_SEMANAL" vbProcedure="false">'DADOS-ESTATISTICOS'!$F$11</definedName>
    <definedName function="false" hidden="false" name="CATEGORIA_PROFISSIONAL_ENC" vbProcedure="false">'INSERÇÃO-DE-DADOS'!$C$19</definedName>
    <definedName function="false" hidden="false" name="CATEGORIA_PROFISSIONAL_SERV" vbProcedure="false">'INSERÇÃO-DE-DADOS'!$C$20</definedName>
    <definedName function="false" hidden="false" name="CATEGORIA_PROFISSIONAL_SERV_HOSP" vbProcedure="false">'INSERÇÃO-DE-DADOS'!$C$21</definedName>
    <definedName function="false" hidden="false" name="CBO" vbProcedure="false">'INSERÇÃO-DE-DADOS'!$D$26</definedName>
    <definedName function="false" hidden="false" name="COEF_KI_ESQ_EXTERNA_ENC" vbProcedure="false">'CUSTOS POR M²'!$F$29</definedName>
    <definedName function="false" hidden="false" name="COEF_KI_ESQ_EXTERNA_SERV" vbProcedure="false">'CUSTOS POR M²'!$F$30</definedName>
    <definedName function="false" hidden="false" name="COEF_KI_FACHADA_ENVID_ENC" vbProcedure="false">'CUSTOS POR M²'!$F$37</definedName>
    <definedName function="false" hidden="false" name="COEF_KI_FACHADA_ENVID_SERV" vbProcedure="false">'CUSTOS POR M²'!$F$38</definedName>
    <definedName function="false" hidden="false" name="CUSTO_M2_AREA_EXTERNA" vbProcedure="false">'CUSTOS POR M²'!$E$22</definedName>
    <definedName function="false" hidden="false" name="CUSTO_M2_AREA_EXTERNA_ENC" vbProcedure="false">'CUSTOS POR M²'!$E$20</definedName>
    <definedName function="false" hidden="false" name="CUSTO_M2_AREA_EXTERNA_SERV" vbProcedure="false">'CUSTOS POR M²'!$E$21</definedName>
    <definedName function="false" hidden="false" name="CUSTO_M2_AREA_HOSPITALAR_ENC" vbProcedure="false">'CUSTOS POR M²'!$E$44</definedName>
    <definedName function="false" hidden="false" name="CUSTO_M2_AREA_HOSPITALAR_SERV" vbProcedure="false">'CUSTOS POR M²'!$E$45</definedName>
    <definedName function="false" hidden="false" name="CUSTO_M2_AREA_INTERNA" vbProcedure="false">'CUSTOS POR M²'!$E$14</definedName>
    <definedName function="false" hidden="false" name="CUSTO_M2_AREA_INTERNA_ENC" vbProcedure="false">'CUSTOS POR M²'!$E$12</definedName>
    <definedName function="false" hidden="false" name="CUSTO_M2_AREA_INTERNA_SERV" vbProcedure="false">'CUSTOS POR M²'!$E$13</definedName>
    <definedName function="false" hidden="false" name="CUSTO_M2_AREA_MED_HOSP" vbProcedure="false">'CUSTOS POR M²'!$E$46</definedName>
    <definedName function="false" hidden="false" name="CUSTO_M2_ESQ_EXTERNA" vbProcedure="false">'CUSTOS POR M²'!$H$31</definedName>
    <definedName function="false" hidden="false" name="CUSTO_M2_ESQ_EXTERNA_ENC" vbProcedure="false">'CUSTOS POR M²'!$H$29</definedName>
    <definedName function="false" hidden="false" name="CUSTO_M2_ESQ_EXTERNA_SERV" vbProcedure="false">'CUSTOS POR M²'!$H$30</definedName>
    <definedName function="false" hidden="false" name="CUSTO_M2_FACHADA_ENVID" vbProcedure="false">'CUSTOS POR M²'!$H$39</definedName>
    <definedName function="false" hidden="false" name="CUSTO_M2_FACHADA_ENVID_ENC" vbProcedure="false">'CUSTOS POR M²'!$H$37</definedName>
    <definedName function="false" hidden="false" name="CUSTO_M2_FACHADA_ENVID_SERV" vbProcedure="false">'CUSTOS POR M²'!$H$38</definedName>
    <definedName function="false" hidden="false" name="DATA_APRESENTACAO_PROPOSTA" vbProcedure="false">'INSERÇÃO-DE-DADOS'!$F$11</definedName>
    <definedName function="false" hidden="false" name="DATA_BASE_CATEGORIA" vbProcedure="false">'INSERÇÃO-DE-DADOS'!$F$27</definedName>
    <definedName function="false" hidden="false" name="DATA_DO_ORCAMENTO_ESTIMATIVO" vbProcedure="false">'INSERÇÃO-DE-DADOS'!$F$2</definedName>
    <definedName function="false" hidden="false" name="DATA_LICITACAO" vbProcedure="false">'INSERÇÃO-DE-DADOS'!$D$8</definedName>
    <definedName function="false" hidden="false" name="DIAS_AUSENCIAS_LEGAIS" vbProcedure="false">'DADOS-ESTATISTICOS'!$F$30</definedName>
    <definedName function="false" hidden="false" name="DIAS_LICENCA_MATERNIDADE" vbProcedure="false">'DADOS-ESTATISTICOS'!$F$36</definedName>
    <definedName function="false" hidden="false" name="DIAS_LICENCA_PATERNIDADE" vbProcedure="false">'DADOS-ESTATISTICOS'!$F$31</definedName>
    <definedName function="false" hidden="false" name="DIAS_NA_SEMANA" vbProcedure="false">'DADOS-ESTATISTICOS'!$F$5</definedName>
    <definedName function="false" hidden="false" name="DIAS_NO_ANO" vbProcedure="false">'DADOS-ESTATISTICOS'!$F$6</definedName>
    <definedName function="false" hidden="false" name="DIAS_NO_MES" vbProcedure="false">'DADOS-ESTATISTICOS'!$F$25</definedName>
    <definedName function="false" hidden="false" name="DIAS_PAGOS_EMPRESA_ACID_TRAB" vbProcedure="false">'DADOS-ESTATISTICOS'!$F$35</definedName>
    <definedName function="false" hidden="false" name="DIAS_TRABALHADOS_NO_MES" vbProcedure="false">'DADOS-ESTATISTICOS'!$F$17</definedName>
    <definedName function="false" hidden="false" name="DIVISOR_DE_HORAS" vbProcedure="false">'DADOS-ESTATISTICOS'!$F$4</definedName>
    <definedName function="false" hidden="false" name="ENCARREGADO_DE_LIMPEZA" vbProcedure="false">'INSERÇÃO-DE-DADOS'!$C$19</definedName>
    <definedName function="false" hidden="false" name="EQUIPAMENTOS" vbProcedure="false">'INSERÇÃO-DE-DADOS'!$F$63</definedName>
    <definedName function="false" hidden="false" name="FAP" vbProcedure="false">'INSERÇÃO-DE-DADOS'!$F$42</definedName>
    <definedName function="false" hidden="false" name="FREQ_ESQ_EXTERNA" vbProcedure="false">'INSERÇÃO-DE-DADOS'!$N$11</definedName>
    <definedName function="false" hidden="false" name="FREQ_FACHADA_ENVID" vbProcedure="false">'INSERÇÃO-DE-DADOS'!$N$12</definedName>
    <definedName function="false" hidden="false" name="HORARIO_LICITACAO" vbProcedure="false">'INSERÇÃO-DE-DADOS'!$F$8</definedName>
    <definedName function="false" hidden="false" name="HORA_NORMAL" vbProcedure="false">'DADOS-ESTATISTICOS'!$F$10</definedName>
    <definedName function="false" hidden="false" name="INCID_FGTS_SOBRE_API" vbProcedure="false">'ENCARGOS-SOCIAIS-E-TRABALHISTAS'!$E$21</definedName>
    <definedName function="false" hidden="false" name="INCID_SUBMOD_2_2_APT" vbProcedure="false">'ENCARGOS-SOCIAIS-E-TRABALHISTAS'!$E$24</definedName>
    <definedName function="false" hidden="false" name="JORNADA_MES_ESQ_EXTERNA_ENC" vbProcedure="false">'CUSTOS POR M²'!$E$29</definedName>
    <definedName function="false" hidden="false" name="JORNADA_MES_ESQ_EXTERNA_SERV" vbProcedure="false">'CUSTOS POR M²'!$E$30</definedName>
    <definedName function="false" hidden="false" name="JORNADA_MES_FACHADA_ENVID_ENC" vbProcedure="false">'CUSTOS POR M²'!$E$37</definedName>
    <definedName function="false" hidden="false" name="JORNADA_MES_FACHADA_ENVID_SERV" vbProcedure="false">'CUSTOS POR M²'!$E$38</definedName>
    <definedName function="false" hidden="false" name="LOCAL_DE_EXECUCAO" vbProcedure="false">'INSERÇÃO-DE-DADOS'!$D$12</definedName>
    <definedName function="false" hidden="false" name="MATERIAIS" vbProcedure="false">'INSERÇÃO-DE-DADOS'!$F$62</definedName>
    <definedName function="false" hidden="false" name="MEDIA_ANUAL_DIAS_TRABALHO_MES" vbProcedure="false">'DADOS-ESTATISTICOS'!$F$7</definedName>
    <definedName function="false" hidden="false" name="MESES_NO_ANO" vbProcedure="false">'DADOS-ESTATISTICOS'!$F$8</definedName>
    <definedName function="false" hidden="false" name="MESES_NO_SEMESTRE" vbProcedure="false">'DADOS-ESTATISTICOS'!$F$9</definedName>
    <definedName function="false" hidden="false" name="MODALIDADE_DE_LICITACAO" vbProcedure="false">'INSERÇÃO-DE-DADOS'!$D$7</definedName>
    <definedName function="false" hidden="false" name="MOD_1_REMUNERACAO_44H" vbProcedure="false">ENCARREGADOS!$F$29</definedName>
    <definedName function="false" hidden="false" name="NUMERO_MESES_EXEC_CONTRATUAL" vbProcedure="false">'INSERÇÃO-DE-DADOS'!$F$15</definedName>
    <definedName function="false" hidden="false" name="NUMERO_PREGAO" vbProcedure="false">'INSERÇÃO-DE-DADOS'!$F$7</definedName>
    <definedName function="false" hidden="false" name="NUMERO_PROCESSO" vbProcedure="false">'INSERÇÃO-DE-DADOS'!$D$6</definedName>
    <definedName function="false" hidden="false" name="OUTRAS_AUSENCIAS" vbProcedure="false">'ENCARGOS-SOCIAIS-E-TRABALHISTAS'!$E$34</definedName>
    <definedName function="false" hidden="false" name="OUTRAS_AUSENCIAS_DESCRICAO" vbProcedure="false">'INSERÇÃO-DE-DADOS'!$C$57</definedName>
    <definedName function="false" hidden="false" name="OUTROS_BENEFICIOS_1" vbProcedure="false">'INSERÇÃO-DE-DADOS'!$F$50</definedName>
    <definedName function="false" hidden="false" name="OUTROS_BENEFICIOS_1_DESCRICAO" vbProcedure="false">'INSERÇÃO-DE-DADOS'!$C$50</definedName>
    <definedName function="false" hidden="false" name="OUTROS_BENEFICIOS_2" vbProcedure="false">'INSERÇÃO-DE-DADOS'!$F$51</definedName>
    <definedName function="false" hidden="false" name="OUTROS_BENEFICIOS_2_DESCRICAO" vbProcedure="false">'INSERÇÃO-DE-DADOS'!$C$51</definedName>
    <definedName function="false" hidden="false" name="OUTROS_BENEFICIOS_3" vbProcedure="false">'INSERÇÃO-DE-DADOS'!$F$52</definedName>
    <definedName function="false" hidden="false" name="OUTROS_BENEFICIOS_3_DESCRICAO" vbProcedure="false">'INSERÇÃO-DE-DADOS'!$C$52</definedName>
    <definedName function="false" hidden="false" name="OUTROS_INSUMOS" vbProcedure="false">'INSERÇÃO-DE-DADOS'!$F$64</definedName>
    <definedName function="false" hidden="false" name="OUTROS_INSUMOS_DESCRICAO" vbProcedure="false">'INSERÇÃO-DE-DADOS'!$C$64</definedName>
    <definedName function="false" hidden="false" name="OUTROS_REMUNERACAO_1" vbProcedure="false">'INSERÇÃO-DE-DADOS'!$F$34</definedName>
    <definedName function="false" hidden="false" name="OUTROS_REMUNERACAO_1_DESCRICAO" vbProcedure="false">'INSERÇÃO-DE-DADOS'!$C$34</definedName>
    <definedName function="false" hidden="false" name="OUTROS_REMUNERACAO_2" vbProcedure="false">'INSERÇÃO-DE-DADOS'!$F$35</definedName>
    <definedName function="false" hidden="false" name="OUTROS_REMUNERACAO_2_DESCRICAO" vbProcedure="false">'INSERÇÃO-DE-DADOS'!$C$35:$E$35</definedName>
    <definedName function="false" hidden="false" name="OUTROS_REMUNERACAO_3" vbProcedure="false">'INSERÇÃO-DE-DADOS'!$F$36</definedName>
    <definedName function="false" hidden="false" name="OUTROS_REMUNERACAO_3_DESCRICAO" vbProcedure="false">'INSERÇÃO-DE-DADOS'!$C$36:$E$36</definedName>
    <definedName function="false" hidden="false" name="PERC_ADIC_FERIAS" vbProcedure="false">'ENCARGOS-SOCIAIS-E-TRABALHISTAS'!$E$6</definedName>
    <definedName function="false" hidden="false" name="PERC_ADIC_INSALUB" vbProcedure="false">'INSERÇÃO-DE-DADOS'!$F$33</definedName>
    <definedName function="false" hidden="false" name="PERC_AVISO_PREVIO_IND" vbProcedure="false">'ENCARGOS-SOCIAIS-E-TRABALHISTAS'!$E$20</definedName>
    <definedName function="false" hidden="false" name="PERC_AVISO_PREVIO_TRAB" vbProcedure="false">'ENCARGOS-SOCIAIS-E-TRABALHISTAS'!$E$23</definedName>
    <definedName function="false" hidden="false" name="PERC_COFINS" vbProcedure="false">'INSERÇÃO-DE-DADOS'!$F$71</definedName>
    <definedName function="false" hidden="false" name="PERC_CUSTOS_INDIRETOS" vbProcedure="false">'INSERÇÃO-DE-DADOS'!$F$68</definedName>
    <definedName function="false" hidden="false" name="PERC_DEC_TERC" vbProcedure="false">'ENCARGOS-SOCIAIS-E-TRABALHISTAS'!$E$5</definedName>
    <definedName function="false" hidden="false" name="PERC_DESC_TRANSP_REMUNERACAO" vbProcedure="false">'DADOS-ESTATISTICOS'!$F$16</definedName>
    <definedName function="false" hidden="false" name="PERC_EMPREG_AFAST_TRAB" vbProcedure="false">'DADOS-ESTATISTICOS'!$F$34</definedName>
    <definedName function="false" hidden="false" name="PERC_EMPREG_AVISO_PREVIO_IND" vbProcedure="false">'DADOS-ESTATISTICOS'!$F$22</definedName>
    <definedName function="false" hidden="false" name="PERC_EMPREG_AVISO_PREVIO_TRAB" vbProcedure="false">'DADOS-ESTATISTICOS'!$F$24</definedName>
    <definedName function="false" hidden="false" name="PERC_EMPREG_DEMIT_SEM_JUSTA_CAUSA_TOTAL_DESLIG" vbProcedure="false">'DADOS-ESTATISTICOS'!$F$21</definedName>
    <definedName function="false" hidden="false" name="PERC_FAP" vbProcedure="false">'INSERÇÃO-DE-DADOS'!$F$42</definedName>
    <definedName function="false" hidden="false" name="PERC_FGTS" vbProcedure="false">'ENCARGOS-SOCIAIS-E-TRABALHISTAS'!$E$16</definedName>
    <definedName function="false" hidden="false" name="PERC_GPS_FGTS" vbProcedure="false">'ENCARGOS-SOCIAIS-E-TRABALHISTAS'!$E$17</definedName>
    <definedName function="false" hidden="false" name="PERC_HORA_EXTRA" vbProcedure="false">'inserção-de-dados'!#ref!</definedName>
    <definedName function="false" hidden="false" name="PERC_INCRA" vbProcedure="false">'ENCARGOS-SOCIAIS-E-TRABALHISTAS'!$E$15</definedName>
    <definedName function="false" hidden="false" name="PERC_INSS" vbProcedure="false">'ENCARGOS-SOCIAIS-E-TRABALHISTAS'!$E$9</definedName>
    <definedName function="false" hidden="false" name="PERC_ISS" vbProcedure="false">'INSERÇÃO-DE-DADOS'!$F$72</definedName>
    <definedName function="false" hidden="false" name="PERC_LUCRO" vbProcedure="false">'INSERÇÃO-DE-DADOS'!$F$69</definedName>
    <definedName function="false" hidden="false" name="PERC_MULTA_FGTS" vbProcedure="false">'DADOS-ESTATISTICOS'!$F$23</definedName>
    <definedName function="false" hidden="false" name="PERC_MULTA_FGTS_AV_PREV_IND" vbProcedure="false">'ENCARGOS-SOCIAIS-E-TRABALHISTAS'!$E$22</definedName>
    <definedName function="false" hidden="false" name="PERC_MULTA_FGTS_AV_PREV_TRAB" vbProcedure="false">'ENCARGOS-SOCIAIS-E-TRABALHISTAS'!$E$25</definedName>
    <definedName function="false" hidden="false" name="PERC_NASCIDOS_VIVOS_POPUL_FEM" vbProcedure="false">'DADOS-ESTATISTICOS'!$F$32</definedName>
    <definedName function="false" hidden="false" name="PERC_PARTIC_FEM_VIGIL" vbProcedure="false">'DADOS-ESTATISTICOS'!$F$37</definedName>
    <definedName function="false" hidden="false" name="PERC_PARTIC_MASC_VIGIL" vbProcedure="false">'DADOS-ESTATISTICOS'!$F$33</definedName>
    <definedName function="false" hidden="false" name="PERC_PAT" vbProcedure="false">'INSERÇÃO-DE-DADOS'!$F$49</definedName>
    <definedName function="false" hidden="false" name="PERC_PIS" vbProcedure="false">'INSERÇÃO-DE-DADOS'!$F$70</definedName>
    <definedName function="false" hidden="false" name="PERC_RAT" vbProcedure="false">'ENCARGOS-SOCIAIS-E-TRABALHISTAS'!$E$11</definedName>
    <definedName function="false" hidden="false" name="PERC_SAL_EDUCACAO" vbProcedure="false">'ENCARGOS-SOCIAIS-E-TRABALHISTAS'!$E$10</definedName>
    <definedName function="false" hidden="false" name="PERC_SEBRAE" vbProcedure="false">'ENCARGOS-SOCIAIS-E-TRABALHISTAS'!$E$14</definedName>
    <definedName function="false" hidden="false" name="PERC_SENAC" vbProcedure="false">'ENCARGOS-SOCIAIS-E-TRABALHISTAS'!$E$13</definedName>
    <definedName function="false" hidden="false" name="PERC_SESC" vbProcedure="false">'ENCARGOS-SOCIAIS-E-TRABALHISTAS'!$E$12</definedName>
    <definedName function="false" hidden="false" name="PERC_SUBSTITUTO_ACID_TRAB" vbProcedure="false">'ENCARGOS-SOCIAIS-E-TRABALHISTAS'!$E$32</definedName>
    <definedName function="false" hidden="false" name="PERC_SUBSTITUTO_AFAST_MATERN" vbProcedure="false">'ENCARGOS-SOCIAIS-E-TRABALHISTAS'!$E$33</definedName>
    <definedName function="false" hidden="false" name="PERC_SUBSTITUTO_AUSENCIAS_LEGAIS" vbProcedure="false">'ENCARGOS-SOCIAIS-E-TRABALHISTAS'!$E$30</definedName>
    <definedName function="false" hidden="false" name="PERC_SUBSTITUTO_FERIAS" vbProcedure="false">'ENCARGOS-SOCIAIS-E-TRABALHISTAS'!$E$29</definedName>
    <definedName function="false" hidden="false" name="PERC_SUBSTITUTO_LICENCA_PATERNIDADE" vbProcedure="false">'ENCARGOS-SOCIAIS-E-TRABALHISTAS'!$E$31</definedName>
    <definedName function="false" hidden="false" name="PERC_SUBSTITUTO_OUTRAS_AUSENCIAS" vbProcedure="false">'INSERÇÃO-DE-DADOS'!$F$57</definedName>
    <definedName function="false" hidden="false" name="PORTARIA_LIMITES" vbProcedure="false">'INSERÇÃO-DE-DADOS'!$N$4</definedName>
    <definedName function="false" hidden="false" name="PRODUT_AREA_ESQ_EXTERNA" vbProcedure="false">'INSERÇÃO-DE-DADOS'!$M$11</definedName>
    <definedName function="false" hidden="false" name="PRODUT_AREA_EXTERNA" vbProcedure="false">'INSERÇÃO-DE-DADOS'!$M$10</definedName>
    <definedName function="false" hidden="false" name="PRODUT_AREA_FACHADA_ENVID" vbProcedure="false">'INSERÇÃO-DE-DADOS'!$M$12</definedName>
    <definedName function="false" hidden="false" name="PRODUT_AREA_HOSPITALAR" vbProcedure="false">'INSERÇÃO-DE-DADOS'!$M$13</definedName>
    <definedName function="false" hidden="false" name="PRODUT_AREA_INTERNA" vbProcedure="false">'INSERÇÃO-DE-DADOS'!$M$9</definedName>
    <definedName function="false" hidden="false" name="QTDE_DE_ENC" vbProcedure="false">'INSERÇÃO-DE-DADOS'!$E$19</definedName>
    <definedName function="false" hidden="false" name="QTDE_DE_SERV" vbProcedure="false">'INSERÇÃO-DE-DADOS'!$E$20</definedName>
    <definedName function="false" hidden="false" name="QTDE_DE_SERV_HOSP" vbProcedure="false">'INSERÇÃO-DE-DADOS'!$E$21</definedName>
    <definedName function="false" hidden="false" name="QTDE_ESTIMADA_SERVENTES" vbProcedure="false">'QTDE-ESTIMADA-SERVENTES'!$D$10</definedName>
    <definedName function="false" hidden="false" name="RAMO" vbProcedure="false">'INSERÇÃO-DE-DADOS'!$B$1</definedName>
    <definedName function="false" hidden="false" name="RELACAO_SERVENTES_ENCARREGADOS" vbProcedure="false">'INSERÇÃO-DE-DADOS'!$N$15</definedName>
    <definedName function="false" hidden="false" name="SALARIO_NORMATIVO_ENC" vbProcedure="false">'INSERÇÃO-DE-DADOS'!$F$19</definedName>
    <definedName function="false" hidden="false" name="SALARIO_NORMATIVO_SERV" vbProcedure="false">'INSERÇÃO-DE-DADOS'!$F$20</definedName>
    <definedName function="false" hidden="false" name="SALARIO_NORMATIVO_SERV_HOSP" vbProcedure="false">'INSERÇÃO-DE-DADOS'!$F$21</definedName>
    <definedName function="false" hidden="false" name="SAL_MINIMO" vbProcedure="false">'INSERÇÃO-DE-DADOS'!$F$28</definedName>
    <definedName function="false" hidden="false" name="SERVENTE" vbProcedure="false">'INSERÇÃO-DE-DADOS'!$C$20</definedName>
    <definedName function="false" hidden="false" name="SERVENTE_AREA_HOSPITALAR" vbProcedure="false">'INSERÇÃO-DE-DADOS'!$C$21</definedName>
    <definedName function="false" hidden="false" name="SUBMOD_2_1_DEC_TERC_ADIC_FERIAS_44H" vbProcedure="false">ENCARREGADOS!$F$36</definedName>
    <definedName function="false" hidden="false" name="TEMPO_INTERVALO_REFEICAO" vbProcedure="false">'inserção-de-dados'!#ref!</definedName>
    <definedName function="false" hidden="false" name="TIPO_DE_SERVICO" vbProcedure="false">'INSERÇÃO-DE-DADOS'!$E$25</definedName>
    <definedName function="false" hidden="false" name="TRANSPORTE_POR_DIA" vbProcedure="false">'INSERÇÃO-DE-DADOS'!$F$47</definedName>
    <definedName function="false" hidden="false" name="UF" vbProcedure="false">'INSERÇÃO-DE-DADOS'!$F$13</definedName>
    <definedName function="false" hidden="false" name="UG" vbProcedure="false">'INSERÇÃO-DE-DADOS'!$B$2</definedName>
    <definedName function="false" hidden="false" name="UNIFORMES" vbProcedure="false">'INSERÇÃO-DE-DADOS'!$F$61</definedName>
    <definedName function="false" hidden="false" name="VALOR_LIMITES_AREA_EXTERNA" vbProcedure="false">'CUSTOS POR M²'!$G$54</definedName>
    <definedName function="false" hidden="false" name="VALOR_LIMITES_AREA_INTERNA" vbProcedure="false">'CUSTOS POR M²'!$G$53</definedName>
    <definedName function="false" hidden="false" name="VALOR_LIMITES_ESQ_EXTERNA" vbProcedure="false">'CUSTOS POR M²'!$G$55</definedName>
    <definedName function="false" hidden="false" name="VALOR_LIMITES_FACHADA_ENVID" vbProcedure="false">'CUSTOS POR M²'!$G$56</definedName>
    <definedName function="false" hidden="false" name="VALOR_LIMITE_CONTRATACAO_POR_AREA" vbProcedure="false">'CUSTOS POR M²'!$G$58</definedName>
    <definedName function="false" hidden="false" name="VALOR_TOTAL_SERV" vbProcedure="false">SERVENTES!$F$95</definedName>
    <definedName function="false" hidden="false" name="VALOR_TOTAL_SERV_HOSP" vbProcedure="false">'SERVENTES-AREA-HOSP'!$F$96</definedName>
    <definedName function="false" hidden="false" localSheetId="3" name="AL_1_A_SAL_BASE_ENC" vbProcedure="false">ENCARREGADOS!$F$21</definedName>
    <definedName function="false" hidden="false" localSheetId="3" name="AL_1_C_OUTROS_REM_1_ENC" vbProcedure="false">ENCARREGADOS!$F$23</definedName>
    <definedName function="false" hidden="false" localSheetId="3" name="AL_2_1_A_DEC_TERC_SERV" vbProcedure="false">SERVENTES!$F$30</definedName>
    <definedName function="false" hidden="false" localSheetId="3" name="AL_2_1_B_ADIC_FERIAS_ENC" vbProcedure="false">ENCARREGADOS!$F$31</definedName>
    <definedName function="false" hidden="false" localSheetId="3" name="AL_2_2_FGTS_ENC" vbProcedure="false">ENCARREGADOS!$F$42</definedName>
    <definedName function="false" hidden="false" localSheetId="3" name="AL_2_3_A_TRANSP_ENC" vbProcedure="false">ENCARREGADOS!$F$46</definedName>
    <definedName function="false" hidden="false" localSheetId="3" name="AL_2_3_B_AUX_ALIMENT_ENC" vbProcedure="false">ENCARREGADOS!$F$47</definedName>
    <definedName function="false" hidden="false" localSheetId="3" name="AL_2_3_C_OUTROS_BENEF_1_ENC" vbProcedure="false">ENCARREGADOS!$F$48</definedName>
    <definedName function="false" hidden="false" localSheetId="3" name="AL_2_A_ATE_2_G_GPS_ENC" vbProcedure="false">ENCARREGADOS!$F$35:$F$41</definedName>
    <definedName function="false" hidden="false" localSheetId="3" name="AL_6_A_CUSTOS_INDIRETOS_ENC" vbProcedure="false">ENCARREGADOS!$F$80</definedName>
    <definedName function="false" hidden="false" localSheetId="3" name="AL_6_B_LUCRO_ENC" vbProcedure="false">ENCARREGADOS!$F$81</definedName>
    <definedName function="false" hidden="false" localSheetId="3" name="AL_6_C_1_PIS_ENC" vbProcedure="false">ENCARREGADOS!$F$83</definedName>
    <definedName function="false" hidden="false" localSheetId="3" name="AL_6_C_2_COFINS_ENC" vbProcedure="false">ENCARREGADOS!$F$84</definedName>
    <definedName function="false" hidden="false" localSheetId="3" name="AL_6_C_3_ISS_ENC" vbProcedure="false">ENCARREGADOS!$F$85</definedName>
    <definedName function="false" hidden="false" localSheetId="3" name="AL_6_C_TRIBUTOS_ENC" vbProcedure="false">ENCARREGADOS!$F$82</definedName>
    <definedName function="false" hidden="false" localSheetId="3" name="MOD_1_REMUNERACAO_ENC" vbProcedure="false">ENCARREGADOS!$F$26</definedName>
    <definedName function="false" hidden="false" localSheetId="3" name="MOD_2_ENCARGOS_BENEFICIOS_ENC" vbProcedure="false">ENCARREGADOS!$F$32+ENCARREGADOS!$F$43+ENCARREGADOS!$F$51</definedName>
    <definedName function="false" hidden="false" localSheetId="3" name="MOD_3_PROVISAO_RESCISAO_ENC" vbProcedure="false">ENCARREGADOS!$F$60</definedName>
    <definedName function="false" hidden="false" localSheetId="3" name="MOD_4_CUSTO_REPOSICAO_ENC" vbProcedure="false">ENCARREGADOS!$F$70</definedName>
    <definedName function="false" hidden="false" localSheetId="3" name="MOD_5_INSUMOS_ENC" vbProcedure="false">ENCARREGADOS!$F$77</definedName>
    <definedName function="false" hidden="false" localSheetId="3" name="MOD_6_CUSTOS_IND_LUCRO_TRIB_ENC" vbProcedure="false">ENCARREGADOS!$F$86</definedName>
    <definedName function="false" hidden="false" localSheetId="3" name="PERC_MOD_3_PROVISAO_RESCISAO" vbProcedure="false">ENCARREGADOS!$E$60</definedName>
    <definedName function="false" hidden="false" localSheetId="3" name="PERC_TRIBUTOS" vbProcedure="false">ENCARREGADOS!$E$82</definedName>
    <definedName function="false" hidden="false" localSheetId="3" name="SUBMOD_2_1_DEC_TERC_ADIC_FERIAS_ENC" vbProcedure="false">ENCARREGADOS!$F$32</definedName>
    <definedName function="false" hidden="false" localSheetId="3" name="SUBMOD_2_2_GPS_FGTS_ENC" vbProcedure="false">ENCARREGADOS!$F$43</definedName>
    <definedName function="false" hidden="false" localSheetId="3" name="SUBMOD_2_3_BENEFICIOS_ENC" vbProcedure="false">ENCARREGADOS!$F$51</definedName>
    <definedName function="false" hidden="false" localSheetId="3" name="SUBMOD_4_1_SUBSTITUTO_ENC" vbProcedure="false">ENCARREGADOS!$F$70</definedName>
    <definedName function="false" hidden="false" localSheetId="3" name="VALOR_TOTAL_ENC" vbProcedure="false">ENCARREGADOS!$F$95</definedName>
    <definedName function="false" hidden="false" localSheetId="3" name="VALOR_TOTAL_SERV" vbProcedure="false">SERVENTES!$F$95</definedName>
    <definedName function="false" hidden="false" localSheetId="4" name="AL_1_A_SAL_BASE_SERV" vbProcedure="false">SERVENTES!$F$21</definedName>
    <definedName function="false" hidden="false" localSheetId="4" name="AL_1_E_OUTROS_REM_3_ENC" vbProcedure="false">ENCARREGADOS!$F$25</definedName>
    <definedName function="false" hidden="false" localSheetId="4" name="AL_2_1_A_DEC_TERC_ENC" vbProcedure="false">ENCARREGADOS!$F$30</definedName>
    <definedName function="false" hidden="false" localSheetId="4" name="AL_2_1_B_ADIC_FERIAS_SERV" vbProcedure="false">SERVENTES!$F$31</definedName>
    <definedName function="false" hidden="false" localSheetId="4" name="AL_2_2_FGTS_SERV" vbProcedure="false">SERVENTES!$F$42</definedName>
    <definedName function="false" hidden="false" localSheetId="4" name="AL_2_3_A_TRANSP_SERV" vbProcedure="false">SERVENTES!$F$46</definedName>
    <definedName function="false" hidden="false" localSheetId="4" name="AL_2_3_B_AUX_ALIMENT_SERV" vbProcedure="false">SERVENTES!$F$47</definedName>
    <definedName function="false" hidden="false" localSheetId="4" name="AL_2_3_C_OUTROS_BENEF_1_SERV" vbProcedure="false">SERVENTES!$F$48</definedName>
    <definedName function="false" hidden="false" localSheetId="4" name="AL_2_A_ATE_2_G_GPS_SERV" vbProcedure="false">SERVENTES!$F$35:$F$41</definedName>
    <definedName function="false" hidden="false" localSheetId="4" name="AL_6_A_CUSTOS_INDIRETOS_SERV" vbProcedure="false">SERVENTES!$F$80</definedName>
    <definedName function="false" hidden="false" localSheetId="4" name="AL_6_B_LUCRO_SERV" vbProcedure="false">SERVENTES!$F$81</definedName>
    <definedName function="false" hidden="false" localSheetId="4" name="AL_6_C_1_PIS_SERV" vbProcedure="false">SERVENTES!$F$83</definedName>
    <definedName function="false" hidden="false" localSheetId="4" name="AL_6_C_2_COFINS_SERV" vbProcedure="false">SERVENTES!$F$84</definedName>
    <definedName function="false" hidden="false" localSheetId="4" name="AL_6_C_3_ISS_SERV" vbProcedure="false">SERVENTES!$F$85</definedName>
    <definedName function="false" hidden="false" localSheetId="4" name="AL_6_C_TRIBUTOS_SERV" vbProcedure="false">SERVENTES!$F$82</definedName>
    <definedName function="false" hidden="false" localSheetId="4" name="MOD_1_REMUNERACAO_ENC" vbProcedure="false">SERVENTES!$F$26</definedName>
    <definedName function="false" hidden="false" localSheetId="4" name="MOD_1_REMUNERACAO_SERV" vbProcedure="false">SERVENTES!$F$26</definedName>
    <definedName function="false" hidden="false" localSheetId="4" name="MOD_2_ENCARGOS_BENEFICIOS_SERV" vbProcedure="false">SERVENTES!$F$32+SERVENTES!$F$43+SERVENTES!$F$51</definedName>
    <definedName function="false" hidden="false" localSheetId="4" name="MOD_3_PROVISAO_RESCISAO_SERV" vbProcedure="false">SERVENTES!$F$60</definedName>
    <definedName function="false" hidden="false" localSheetId="4" name="MOD_4_CUSTO_REPOSICAO_SERV" vbProcedure="false">SERVENTES!$F$70</definedName>
    <definedName function="false" hidden="false" localSheetId="4" name="MOD_5_INSUMOS_SERV" vbProcedure="false">SERVENTES!$F$77</definedName>
    <definedName function="false" hidden="false" localSheetId="4" name="MOD_6_CUSTOS_IND_LUCRO_TRIB_SERV" vbProcedure="false">SERVENTES!$F$86</definedName>
    <definedName function="false" hidden="false" localSheetId="4" name="PERC_MOD_3_PROVISAO_RESCISAO" vbProcedure="false">SERVENTES!$E$60</definedName>
    <definedName function="false" hidden="false" localSheetId="4" name="PERC_TRIBUTOS" vbProcedure="false">SERVENTES!$E$82</definedName>
    <definedName function="false" hidden="false" localSheetId="4" name="SUBMOD_2_1_DEC_TERC_ADIC_FERIAS_ENC" vbProcedure="false">SERVENTES!$F$32</definedName>
    <definedName function="false" hidden="false" localSheetId="4" name="SUBMOD_2_1_DEC_TERC_ADIC_FERIAS_SERV" vbProcedure="false">SERVENTES!$F$32</definedName>
    <definedName function="false" hidden="false" localSheetId="4" name="SUBMOD_2_2_GPS_FGTS_SERV" vbProcedure="false">SERVENTES!$F$43</definedName>
    <definedName function="false" hidden="false" localSheetId="4" name="SUBMOD_2_3_BENEFICIOS_SERV" vbProcedure="false">SERVENTES!$F$51</definedName>
    <definedName function="false" hidden="false" localSheetId="4" name="SUBMOD_4_1_SUBSTITUTO_SERV" vbProcedure="false">SERVENTES!$F$70</definedName>
    <definedName function="false" hidden="false" localSheetId="4" name="VALOR_TOTAL_SERV_HOSP" vbProcedure="false">'SERVENTES-AREA-HOSP'!$F$96</definedName>
    <definedName function="false" hidden="false" localSheetId="5" name="AL_1_A_SAL_BASE_SERV_HOSP" vbProcedure="false">'SERVENTES-AREA-HOSP'!$F$21</definedName>
    <definedName function="false" hidden="false" localSheetId="5" name="AL_2_2_FGTS_SERV_HOSP" vbProcedure="false">'SERVENTES-AREA-HOSP'!$F$42</definedName>
    <definedName function="false" hidden="false" localSheetId="5" name="AL_6_A_CUSTOS_INDIRETOS_SERV_HOSP" vbProcedure="false">'SERVENTES-AREA-HOSP'!$F$80</definedName>
    <definedName function="false" hidden="false" localSheetId="5" name="AL_6_B_LUCRO_SERV_HOSP" vbProcedure="false">'SERVENTES-AREA-HOSP'!$F$81</definedName>
    <definedName function="false" hidden="false" localSheetId="5" name="AL_6_C_TRIBUTOS_SERV_HOSP" vbProcedure="false">'SERVENTES-AREA-HOSP'!$F$82</definedName>
    <definedName function="false" hidden="false" localSheetId="5" name="MOD_1_REMUNERACAO_ENC" vbProcedure="false">'SERVENTES-AREA-HOSP'!$F$26</definedName>
    <definedName function="false" hidden="false" localSheetId="5" name="MOD_1_REMUNERACAO_SERV_HOSP" vbProcedure="false">'SERVENTES-AREA-HOSP'!$F$26</definedName>
    <definedName function="false" hidden="false" localSheetId="5" name="MOD_2_ENCARGOS_BENEFICIOS_SERV_HOSP" vbProcedure="false">'SERVENTES-AREA-HOSP'!$F$32+'SERVENTES-AREA-HOSP'!$F$43+'SERVENTES-AREA-HOSP'!$F$51</definedName>
    <definedName function="false" hidden="false" localSheetId="5" name="MOD_3_PROVISAO_RESCISAO_SERV_HOSP" vbProcedure="false">'SERVENTES-AREA-HOSP'!$F$60</definedName>
    <definedName function="false" hidden="false" localSheetId="5" name="MOD_4_CUSTO_REPOSICAO_SERV_HOSP" vbProcedure="false">'SERVENTES-AREA-HOSP'!$F$70</definedName>
    <definedName function="false" hidden="false" localSheetId="5" name="MOD_5_INSUMOS_SERV_HOSP" vbProcedure="false">'SERVENTES-AREA-HOSP'!$F$77</definedName>
    <definedName function="false" hidden="false" localSheetId="5" name="MOD_6_CUSTOS_IND_LUCRO_TRIB_SERV_HOSP" vbProcedure="false">'SERVENTES-AREA-HOSP'!$F$86</definedName>
    <definedName function="false" hidden="false" localSheetId="5" name="PERC_TRIBUTOS" vbProcedure="false">'SERVENTES-AREA-HOSP'!$E$82</definedName>
    <definedName function="false" hidden="false" localSheetId="5" name="SUBMOD_2_1_DEC_TERC_ADIC_FERIAS_ENC" vbProcedure="false">'SERVENTES-AREA-HOSP'!$F$32</definedName>
    <definedName function="false" hidden="false" localSheetId="5" name="SUBMOD_2_1_DEC_TERC_ADIC_FERIAS_SERV_HOSP" vbProcedure="false">'SERVENTES-AREA-HOSP'!$F$32</definedName>
    <definedName function="false" hidden="false" localSheetId="5" name="SUBMOD_2_2_GPS_FGTS_SERV_HOSP" vbProcedure="false">'SERVENTES-AREA-HOSP'!$F$43</definedName>
    <definedName function="false" hidden="false" localSheetId="5" name="SUBMOD_2_3_BENEFICIOS_SERV_HOSP" vbProcedure="false">'SERVENTES-AREA-HOSP'!$F$51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Autor desconhecido</author>
  </authors>
  <commentList>
    <comment ref="F49" authorId="0">
      <text>
        <r>
          <rPr>
            <sz val="10"/>
            <rFont val="Arial"/>
            <family val="2"/>
          </rPr>
          <t xml:space="preserve">Limitado a 20%</t>
        </r>
      </text>
    </comment>
  </commentList>
</comments>
</file>

<file path=xl/sharedStrings.xml><?xml version="1.0" encoding="utf-8"?>
<sst xmlns="http://schemas.openxmlformats.org/spreadsheetml/2006/main" count="978" uniqueCount="331">
  <si>
    <t xml:space="preserve">RAMO: MINISTÉRIO PÚBLICO FEDERAL – MPF</t>
  </si>
  <si>
    <t xml:space="preserve">INFORMAÇÕES SOBRE O LOCAL ONDE OS SERVIÇOS DE LIMPEZA E CONSERVAÇÃO SERÃO EXECUTADOS</t>
  </si>
  <si>
    <t xml:space="preserve">UNIDADE GESTORA (SIGLA): 200090 (PRPE) </t>
  </si>
  <si>
    <t xml:space="preserve">DATA:</t>
  </si>
  <si>
    <t xml:space="preserve">CUSTOS REFERENTES A SERVIÇOS DE LIMPEZA E CONSERVAÇÃO</t>
  </si>
  <si>
    <t xml:space="preserve">PORTARIA VIGENTE À ÉPOCA DA CONTRATAÇÃO</t>
  </si>
  <si>
    <t xml:space="preserve">Nº</t>
  </si>
  <si>
    <t xml:space="preserve">Dados referentes à licitação</t>
  </si>
  <si>
    <t xml:space="preserve">ÁREAS FÍSICAS A SEREM LIMPAS (em m²)</t>
  </si>
  <si>
    <t xml:space="preserve">Nº do Processo (X.XX.XXX.XXXXXX/XXXX-XX)</t>
  </si>
  <si>
    <t xml:space="preserve">X.XX.XXX.XXXXXX/20XX-XX</t>
  </si>
  <si>
    <t xml:space="preserve">TIPO DE ÁREA
(1)</t>
  </si>
  <si>
    <t xml:space="preserve">EDIFÍCIO-SEDE</t>
  </si>
  <si>
    <t xml:space="preserve">ANEXOS</t>
  </si>
  <si>
    <t xml:space="preserve">PTMs/ PRMs</t>
  </si>
  <si>
    <t xml:space="preserve">TOTAL</t>
  </si>
  <si>
    <t xml:space="preserve">PRODUT. (2)</t>
  </si>
  <si>
    <t xml:space="preserve">FREQUÊNCIA (EM HORAS) (3)</t>
  </si>
  <si>
    <t xml:space="preserve">Modalidade de Licitação nº (XX/AAAA)</t>
  </si>
  <si>
    <t xml:space="preserve">Pregão nº</t>
  </si>
  <si>
    <t xml:space="preserve">XX/20XX</t>
  </si>
  <si>
    <t xml:space="preserve">Data / Horário</t>
  </si>
  <si>
    <t xml:space="preserve">XX/XX/20XX</t>
  </si>
  <si>
    <t xml:space="preserve">HH:MM</t>
  </si>
  <si>
    <t xml:space="preserve">(A)</t>
  </si>
  <si>
    <t xml:space="preserve">(B)</t>
  </si>
  <si>
    <t xml:space="preserve">(C)</t>
  </si>
  <si>
    <t xml:space="preserve">D = (A+B+C)</t>
  </si>
  <si>
    <t xml:space="preserve">área interna</t>
  </si>
  <si>
    <t xml:space="preserve">Dados referentes à contratação</t>
  </si>
  <si>
    <t xml:space="preserve">área externa</t>
  </si>
  <si>
    <t xml:space="preserve">A</t>
  </si>
  <si>
    <t xml:space="preserve">Data de Apresentação da Proposta (DD/MM/AAAA)</t>
  </si>
  <si>
    <t xml:space="preserve">esquadria externa</t>
  </si>
  <si>
    <t xml:space="preserve">B</t>
  </si>
  <si>
    <t xml:space="preserve">Local de Execução (Sede, Anexo I ou II, PTM, PRM)</t>
  </si>
  <si>
    <t xml:space="preserve">fachaçada envidraçada</t>
  </si>
  <si>
    <t xml:space="preserve">C</t>
  </si>
  <si>
    <t xml:space="preserve">Unidade da Federação</t>
  </si>
  <si>
    <t xml:space="preserve">PE</t>
  </si>
  <si>
    <t xml:space="preserve">área médico hospitalar</t>
  </si>
  <si>
    <t xml:space="preserve">D</t>
  </si>
  <si>
    <t xml:space="preserve">Acordo, Conv. ou Sentença Normativa em Dissídio Coletivo (MM/AAAA)</t>
  </si>
  <si>
    <t xml:space="preserve">01/2025</t>
  </si>
  <si>
    <t xml:space="preserve">E</t>
  </si>
  <si>
    <t xml:space="preserve">Número de Meses de Execução Contratual</t>
  </si>
  <si>
    <t xml:space="preserve">QTDE DE SERVENTES/ENCARREGADO (SE FOR O CASO) (4)</t>
  </si>
  <si>
    <t xml:space="preserve">Identificação do serviço</t>
  </si>
  <si>
    <t xml:space="preserve">OBSERVAÇÕES (conforme o Anexo VII-D da IN SEGES/MPDG nº 5/2017)</t>
  </si>
  <si>
    <t xml:space="preserve">Item</t>
  </si>
  <si>
    <t xml:space="preserve">Tipo de Serviço</t>
  </si>
  <si>
    <t xml:space="preserve">Adic. Insalub.?</t>
  </si>
  <si>
    <t xml:space="preserve">Qtde a Contratar</t>
  </si>
  <si>
    <t xml:space="preserve">Salário Normat. (em R$)</t>
  </si>
  <si>
    <r>
      <rPr>
        <b val="true"/>
        <sz val="11"/>
        <rFont val="Segoe UI Light"/>
        <family val="2"/>
        <charset val="1"/>
      </rPr>
      <t xml:space="preserve">(1)</t>
    </r>
    <r>
      <rPr>
        <sz val="11"/>
        <rFont val="Segoe UI Light"/>
        <family val="2"/>
        <charset val="1"/>
      </rPr>
      <t xml:space="preserve"> Informar as metragens reais da unidade de acordo com os tipos de áreas existentes, incluindo PRMs/PTMs, conforme abrangência da contratação.</t>
    </r>
  </si>
  <si>
    <t xml:space="preserve">1</t>
  </si>
  <si>
    <t xml:space="preserve">Encarregado de Limpeza</t>
  </si>
  <si>
    <r>
      <rPr>
        <b val="true"/>
        <sz val="11"/>
        <rFont val="Segoe UI Light"/>
        <family val="2"/>
        <charset val="1"/>
      </rPr>
      <t xml:space="preserve">(2) </t>
    </r>
    <r>
      <rPr>
        <sz val="11"/>
        <rFont val="Segoe UI Light"/>
        <family val="2"/>
        <charset val="1"/>
      </rPr>
      <t xml:space="preserve">Caso as produtividades mínimas adotadas sejam diferentes, estes valores das planilhas, bem como os coeficientes deles decorrentes (Ki e Ke), deverão ser adequados à nova situação.</t>
    </r>
  </si>
  <si>
    <t xml:space="preserve">2</t>
  </si>
  <si>
    <t xml:space="preserve">Servente</t>
  </si>
  <si>
    <t xml:space="preserve">NÃO</t>
  </si>
  <si>
    <t xml:space="preserve">3</t>
  </si>
  <si>
    <t xml:space="preserve">Servente - Área Médico Hospitalar</t>
  </si>
  <si>
    <r>
      <rPr>
        <b val="true"/>
        <sz val="11"/>
        <rFont val="Segoe UI Light"/>
        <family val="2"/>
        <charset val="1"/>
      </rPr>
      <t xml:space="preserve">(3)</t>
    </r>
    <r>
      <rPr>
        <sz val="11"/>
        <rFont val="Segoe UI Light"/>
        <family val="2"/>
        <charset val="1"/>
      </rPr>
      <t xml:space="preserve"> No caso das esquadrias externas, inserir a frequência de horas mensais. Em relação às fachadas envidraçadas, incluir a frequência de horas semestrais.</t>
    </r>
  </si>
  <si>
    <t xml:space="preserve">Qual a base de cálculo do adicional de insalubridade (CCT ou Salário Mínimo)?</t>
  </si>
  <si>
    <r>
      <rPr>
        <b val="true"/>
        <sz val="11"/>
        <rFont val="Segoe UI Light"/>
        <family val="2"/>
        <charset val="1"/>
      </rPr>
      <t xml:space="preserve">(4)</t>
    </r>
    <r>
      <rPr>
        <sz val="11"/>
        <rFont val="Segoe UI Light"/>
        <family val="2"/>
        <charset val="1"/>
      </rPr>
      <t xml:space="preserve"> Caso a relação entre serventes e encarregados seja diferente, os valores das planilhas, bem como os coeficientes deles decorrentes (Ki e Ke), deverão ser adequados à nova situação. </t>
    </r>
  </si>
  <si>
    <t xml:space="preserve">Mão de obra</t>
  </si>
  <si>
    <t xml:space="preserve">Tipo de Serviço (mesmo serviço com características distintas)</t>
  </si>
  <si>
    <t xml:space="preserve">Limpeza e Conservação</t>
  </si>
  <si>
    <t xml:space="preserve">Classificação Brasileira de Ocupações (CBO)</t>
  </si>
  <si>
    <t xml:space="preserve">5143-20</t>
  </si>
  <si>
    <t xml:space="preserve">Data-Base da Categoria (DD/MM/AAAA)</t>
  </si>
  <si>
    <t xml:space="preserve">Salário Mínimo vigente no país (em R$)</t>
  </si>
  <si>
    <t xml:space="preserve">CUSTOS POR EMPREGADO</t>
  </si>
  <si>
    <t xml:space="preserve">MÓDULO 1: COMPOSIÇÃO DA REMUNERAÇÃO</t>
  </si>
  <si>
    <t xml:space="preserve">Composição da Remuneração</t>
  </si>
  <si>
    <t xml:space="preserve">Valor (R$) / %</t>
  </si>
  <si>
    <t xml:space="preserve">Adicional de Insalubridade (em %)</t>
  </si>
  <si>
    <t xml:space="preserve">Outras Remunerações 1 (Especificar)</t>
  </si>
  <si>
    <t xml:space="preserve">Outras Remunerações 2 (Especificar)</t>
  </si>
  <si>
    <t xml:space="preserve">Outras Remunerações 3 (Especificar)</t>
  </si>
  <si>
    <t xml:space="preserve">MÓDULO 2: ENCARGOS E BENEFÍCIOS ANUAIS, MENSAIS E DIÁRIOS</t>
  </si>
  <si>
    <t xml:space="preserve">Submódulo 2.2 - Encargos Previd. (GPS), FGTS e Outras Contribuições</t>
  </si>
  <si>
    <t xml:space="preserve">2.2</t>
  </si>
  <si>
    <t xml:space="preserve">Encargos Previd. (GPS), FGTS e Outras Contribuições</t>
  </si>
  <si>
    <t xml:space="preserve">Multiplicador</t>
  </si>
  <si>
    <t xml:space="preserve">FAP</t>
  </si>
  <si>
    <t xml:space="preserve">Submódulo 2.3 - Benefícios Mensais e Diários</t>
  </si>
  <si>
    <t xml:space="preserve">2.3</t>
  </si>
  <si>
    <t xml:space="preserve">Benefícios Mensais e Diários</t>
  </si>
  <si>
    <t xml:space="preserve">Frequência / Opção</t>
  </si>
  <si>
    <t xml:space="preserve">Transporte</t>
  </si>
  <si>
    <t xml:space="preserve">Diária</t>
  </si>
  <si>
    <t xml:space="preserve">Auxílio-Refeição/Alimentação</t>
  </si>
  <si>
    <t xml:space="preserve">A empresa aderiu ao PAT? Caso positivo, qual o percentual adotado?</t>
  </si>
  <si>
    <t xml:space="preserve">Cesta básica (CCT)</t>
  </si>
  <si>
    <t xml:space="preserve">Cobertura social (CCT)</t>
  </si>
  <si>
    <t xml:space="preserve">F</t>
  </si>
  <si>
    <t xml:space="preserve">Outros Benefícios 3 (Especificar)</t>
  </si>
  <si>
    <t xml:space="preserve">MÓDULO 4: CUSTO DE REPOSIÇÃO DO PROFISSIONAL AUSENTE</t>
  </si>
  <si>
    <t xml:space="preserve">Submódulo 4.1 - Substituto nas Ausências Legais</t>
  </si>
  <si>
    <t xml:space="preserve">4.1</t>
  </si>
  <si>
    <t xml:space="preserve">Substituto nas Ausências Legais</t>
  </si>
  <si>
    <t xml:space="preserve">%</t>
  </si>
  <si>
    <t xml:space="preserve">Outras Ausências (Especificar em %)</t>
  </si>
  <si>
    <t xml:space="preserve">MÓDULO 5: INSUMOS DIVERSOS</t>
  </si>
  <si>
    <t xml:space="preserve">Insumos Diversos</t>
  </si>
  <si>
    <t xml:space="preserve">Valor (R$)</t>
  </si>
  <si>
    <t xml:space="preserve">Uniformes</t>
  </si>
  <si>
    <t xml:space="preserve">Materiais</t>
  </si>
  <si>
    <t xml:space="preserve">Equipamentos</t>
  </si>
  <si>
    <t xml:space="preserve">Outros Insumos (Especificar)</t>
  </si>
  <si>
    <t xml:space="preserve">MÓDULO 6: CUSTOS INDIRETOS, TRIBUTOS E LUCRO</t>
  </si>
  <si>
    <t xml:space="preserve">Custos Indiretos, Tributos e Lucro</t>
  </si>
  <si>
    <t xml:space="preserve">Custos Indiretos</t>
  </si>
  <si>
    <t xml:space="preserve">Lucro</t>
  </si>
  <si>
    <t xml:space="preserve">C.1</t>
  </si>
  <si>
    <t xml:space="preserve">PIS</t>
  </si>
  <si>
    <t xml:space="preserve">C.2</t>
  </si>
  <si>
    <t xml:space="preserve">Cofins</t>
  </si>
  <si>
    <t xml:space="preserve">C.3</t>
  </si>
  <si>
    <t xml:space="preserve">ISS</t>
  </si>
  <si>
    <t xml:space="preserve">OBSERVAÇÃO</t>
  </si>
  <si>
    <t xml:space="preserve">Para mais informações, consulte o Referencial Técnico de Custos, constante da página da Auditoria Interna do MPU na internet (www.auditoria.mpu.mp.br).				</t>
  </si>
  <si>
    <t xml:space="preserve">DADOS ESTATÍSTICOS</t>
  </si>
  <si>
    <t xml:space="preserve">Dias / Horas / Minutos</t>
  </si>
  <si>
    <t xml:space="preserve">Divisor de Horas (em horas)</t>
  </si>
  <si>
    <t xml:space="preserve">Dias na Semana</t>
  </si>
  <si>
    <t xml:space="preserve">Dias no Ano</t>
  </si>
  <si>
    <t xml:space="preserve">Média Anual de Dias Trabalhados no Mês</t>
  </si>
  <si>
    <t xml:space="preserve">Meses no Ano </t>
  </si>
  <si>
    <t xml:space="preserve">Meses no Semestre</t>
  </si>
  <si>
    <t xml:space="preserve">G</t>
  </si>
  <si>
    <t xml:space="preserve">Hora Normal (em minutos)</t>
  </si>
  <si>
    <t xml:space="preserve">H</t>
  </si>
  <si>
    <t xml:space="preserve">Carga Horária Semanal (em horas)</t>
  </si>
  <si>
    <t xml:space="preserve">Frequência</t>
  </si>
  <si>
    <t xml:space="preserve">Desconto Remuneração Transporte</t>
  </si>
  <si>
    <t xml:space="preserve">Mensal</t>
  </si>
  <si>
    <t xml:space="preserve">Dias Trabalhados</t>
  </si>
  <si>
    <t xml:space="preserve">MÓDULO 3: PROVISÃO PARA RESCISÃO</t>
  </si>
  <si>
    <t xml:space="preserve">Provisão para Rescisão</t>
  </si>
  <si>
    <t xml:space="preserve">Dias / %</t>
  </si>
  <si>
    <t xml:space="preserve">Faxineiros demitidos sem justa causa / Total de desligamentos (em %)</t>
  </si>
  <si>
    <t xml:space="preserve">Empregados que recebem aviso prévio indenizado (em %)</t>
  </si>
  <si>
    <t xml:space="preserve">Multa do FGTS (em %)</t>
  </si>
  <si>
    <t xml:space="preserve">Empregados que recebem aviso prévio trabalhado (em %)</t>
  </si>
  <si>
    <t xml:space="preserve">Dias no mês</t>
  </si>
  <si>
    <t xml:space="preserve">Dias de Ausências Legais</t>
  </si>
  <si>
    <t xml:space="preserve">Dias de Licença-Paternidade</t>
  </si>
  <si>
    <t xml:space="preserve">Nascidos Vivos / População Feminina (em %)</t>
  </si>
  <si>
    <t xml:space="preserve">Participação Masculina nos Serviços de Limpeza (em %)</t>
  </si>
  <si>
    <t xml:space="preserve">Empregados afastados por acidente de trabalho (em %)</t>
  </si>
  <si>
    <t xml:space="preserve">Dias pagos pela empresa em acidentes de trabalho</t>
  </si>
  <si>
    <t xml:space="preserve">Dias de Licença-Maternidade</t>
  </si>
  <si>
    <t xml:space="preserve">Participação Feminina nos Serviços de Limpeza (em %)</t>
  </si>
  <si>
    <t xml:space="preserve">ENCARGOS SOCIAIS E TRABALHISTAS</t>
  </si>
  <si>
    <t xml:space="preserve">Submódulo 2.1 - 13º (décimo terceiro) Salário e Adicional de Férias</t>
  </si>
  <si>
    <t xml:space="preserve">2.1</t>
  </si>
  <si>
    <t xml:space="preserve">13º Salário e Adicional de Férias</t>
  </si>
  <si>
    <t xml:space="preserve">Memória de Cálculo</t>
  </si>
  <si>
    <t xml:space="preserve">13º Salário</t>
  </si>
  <si>
    <t xml:space="preserve">(1/12) x 100</t>
  </si>
  <si>
    <t xml:space="preserve">Adicional de Férias</t>
  </si>
  <si>
    <t xml:space="preserve">[(1/3)/12] x 100</t>
  </si>
  <si>
    <t xml:space="preserve">Submódulo 2.2 - Encargos Previdencários (GPS), Fundo de Garantia por Tempo de Serviço (FGTS) e Outras Contribuições</t>
  </si>
  <si>
    <t xml:space="preserve">Encargos Previdenciários (GPS), Fundo de Garantia por Tempo de Serviço (FGTS) e outras contribuições</t>
  </si>
  <si>
    <t xml:space="preserve">INSS</t>
  </si>
  <si>
    <t xml:space="preserve">Salário Educação</t>
  </si>
  <si>
    <t xml:space="preserve">RAT x FAP*</t>
  </si>
  <si>
    <t xml:space="preserve">SESC</t>
  </si>
  <si>
    <t xml:space="preserve">SENAC</t>
  </si>
  <si>
    <t xml:space="preserve">SEBRAE</t>
  </si>
  <si>
    <t xml:space="preserve">INCRA</t>
  </si>
  <si>
    <t xml:space="preserve">FGTS</t>
  </si>
  <si>
    <t xml:space="preserve">Aviso Prévio Indenizado</t>
  </si>
  <si>
    <t xml:space="preserve">[(56,24%) x 5,55% x (1/12)] x 100</t>
  </si>
  <si>
    <t xml:space="preserve">Incidência do FGTS sobre o Aviso Prévio Indenizado</t>
  </si>
  <si>
    <t xml:space="preserve">0,26% x 8,00% x 100</t>
  </si>
  <si>
    <t xml:space="preserve">Multa do FGTS sobre o Aviso Prévio Indenizado</t>
  </si>
  <si>
    <t xml:space="preserve">[(56,24%) x 5,55%x 40%  x 8,00% x 100</t>
  </si>
  <si>
    <t xml:space="preserve">Aviso Prévio Trabalhado</t>
  </si>
  <si>
    <t xml:space="preserve">[(56,24%) x 94,45% x (7/30)/12] x 100</t>
  </si>
  <si>
    <t xml:space="preserve">Incidência dos encargos do Submódulo 2.2 sobre o Aviso Prévio Trabalhado </t>
  </si>
  <si>
    <t xml:space="preserve">1,03% x 36,80% x 100</t>
  </si>
  <si>
    <t xml:space="preserve">Multa do FGTS sobre o Aviso Prévio Trabalhado</t>
  </si>
  <si>
    <t xml:space="preserve">[(56,24%) x 94,45% x 40%  x 8,00% x 100</t>
  </si>
  <si>
    <t xml:space="preserve">Substituto na Cobertura de Férias </t>
  </si>
  <si>
    <t xml:space="preserve">(1/12) x 100 </t>
  </si>
  <si>
    <t xml:space="preserve">Substituto na Cobertura de Ausências Legais</t>
  </si>
  <si>
    <t xml:space="preserve">[(8/30)/12] x 100</t>
  </si>
  <si>
    <t xml:space="preserve">Substituto na Cobertura de Licença-Paternidade</t>
  </si>
  <si>
    <t xml:space="preserve">{[(5/30)/12] x 1,416% x 45,22%} x 100</t>
  </si>
  <si>
    <t xml:space="preserve">Substituto na Cobertura de Ausência por Acidente de Trabalho</t>
  </si>
  <si>
    <t xml:space="preserve">[(15/30)/12] x 0,44%} x 100</t>
  </si>
  <si>
    <t xml:space="preserve">Substituto na Cobertura de Afastamento Maternidade</t>
  </si>
  <si>
    <t xml:space="preserve">{[(120/30)/12] x 1,416% x 54,78% x 36,80%} x 100</t>
  </si>
  <si>
    <t xml:space="preserve">Para mais informações, consulte o Referencial Técnico de Custos, constante da página da Auditoria Interna do MPU na internet (www.auditoria.mpu.mp.br).   * FAP - Deverá estar previsto na proposta da empresa licitante e comprovada sua incidência posteriormente.</t>
  </si>
  <si>
    <t xml:space="preserve">CUSTOS REFERENTES AO ENCARREGADO</t>
  </si>
  <si>
    <t xml:space="preserve">Nº do Processo</t>
  </si>
  <si>
    <t xml:space="preserve">Modalidade de Licitação</t>
  </si>
  <si>
    <t xml:space="preserve">DISCRIMINAÇÃO DOS SERVIÇOS (DADOS REFERENTES À CONTRATAÇÃO)</t>
  </si>
  <si>
    <t xml:space="preserve">Quantidade de Encarregados</t>
  </si>
  <si>
    <t xml:space="preserve">Categoria Profissional (vinculada à execução contratual)</t>
  </si>
  <si>
    <t xml:space="preserve">PLANILHA DE CUSTOS E FORMAÇÃO DE PREÇOS</t>
  </si>
  <si>
    <t xml:space="preserve">Salário-Base</t>
  </si>
  <si>
    <t xml:space="preserve">Adicional de Insalubridade</t>
  </si>
  <si>
    <t xml:space="preserve">Incidência dos encargos do submódulo 2.2 sobre o Aviso Prévio Trabalhado </t>
  </si>
  <si>
    <t xml:space="preserve">Tributos</t>
  </si>
  <si>
    <t xml:space="preserve">QUADRO RESUMO - CUSTO POR EMPREGADO</t>
  </si>
  <si>
    <t xml:space="preserve">MÓD.</t>
  </si>
  <si>
    <t xml:space="preserve">Mão-de-obra vinculada à execução contratual (valor por empregado)</t>
  </si>
  <si>
    <t xml:space="preserve">Valor    (R$)</t>
  </si>
  <si>
    <t xml:space="preserve">Encargos e Benefícios Anuais, Mensais e Diários</t>
  </si>
  <si>
    <t xml:space="preserve">Custo de Reposição do Profissional Ausente</t>
  </si>
  <si>
    <t xml:space="preserve">VALOR TOTAL DO ENCARREGADO</t>
  </si>
  <si>
    <t xml:space="preserve">CUSTOS REFERENTES AO SERVENTE</t>
  </si>
  <si>
    <t xml:space="preserve">Quantidade de Serventes</t>
  </si>
  <si>
    <t xml:space="preserve">Riscos Ambientas do Trabalho</t>
  </si>
  <si>
    <t xml:space="preserve">VALOR TOTAL DO SERVENTE</t>
  </si>
  <si>
    <t xml:space="preserve">CUSTOS REFERENTES AO SERVENTE ÁREA HOSPITALAR</t>
  </si>
  <si>
    <t xml:space="preserve">Quantidade de Serventes Área Hospitalar</t>
  </si>
  <si>
    <t xml:space="preserve">VALOR TOTAL DO SERVENTE ÁREA HOSPITALAR</t>
  </si>
  <si>
    <t xml:space="preserve">ANEXO VI-B da IN SEGES/MPDG nº 5/2017</t>
  </si>
  <si>
    <t xml:space="preserve">(Produtividades mínimas previstas no item 3, considerando os parâmetros do Anexo VI-B da Instrução Normativa)</t>
  </si>
  <si>
    <t xml:space="preserve">I - PREÇO MENSAL UNITÁRIO POR M²</t>
  </si>
  <si>
    <t xml:space="preserve">ÁREA INTERNA (Fórmulas exemplificativas de cálculo para área interna - alínea "a" do item 3.1 do Anexo VI-B; para as demais alíneas, deverão ser incluídos novos campos na planilha com a metragem adequada)</t>
  </si>
  <si>
    <t xml:space="preserve">MÃO DE OBRA</t>
  </si>
  <si>
    <t xml:space="preserve">PRODUTIVIDADE
(1/m²) (I)</t>
  </si>
  <si>
    <t xml:space="preserve">PREÇO HOMEM-MÊS   ( II )</t>
  </si>
  <si>
    <t xml:space="preserve">SUBTOTAL (R$/m²)
( I ) x ( II )</t>
  </si>
  <si>
    <t xml:space="preserve">ENCARREGADO</t>
  </si>
  <si>
    <t xml:space="preserve">SERVENTE</t>
  </si>
  <si>
    <t xml:space="preserve">CUSTO POR M² TOTAL - ÁREA INTERNA</t>
  </si>
  <si>
    <t xml:space="preserve">ÁREA EXTERNA (Fórmulas exemplificativas de cálculo para área externa - alínea "a" do item 3.2 do Anexo VI-B; para as demais alíneas, deverão ser incluídos novos campos na planilha com a metragem adequada).</t>
  </si>
  <si>
    <t xml:space="preserve">CUSTO POR M² TOTAL - ÁREA EXTERNA</t>
  </si>
  <si>
    <t xml:space="preserve">ESQUADRIA EXTERNA (Fórmulas exemplificativas de cálculo para área externa - alínea "a" do item 3.3 do Anexo VI-B; para as demais alíneas, deverão ser incluídos novos campos na planilha com a metragem adequada).</t>
  </si>
  <si>
    <t xml:space="preserve">FREQUENCIA NO MÊS ( II )
 (EM HORAS) (2)</t>
  </si>
  <si>
    <t xml:space="preserve">JORNADA NO MÊS   ( III )
(EM HORAS)</t>
  </si>
  <si>
    <t xml:space="preserve">COEFICIENTE (Ki)
( I )x( II )x( III )=  ( IV )</t>
  </si>
  <si>
    <t xml:space="preserve">PREÇO HOMEM-MÊS   ( V )</t>
  </si>
  <si>
    <t xml:space="preserve">SUBTOTAL (R$/m²)
( IV )x( V )</t>
  </si>
  <si>
    <t xml:space="preserve">CUSTO POR M² TOTAL - ESQUADRIA EXTERNA</t>
  </si>
  <si>
    <t xml:space="preserve">FACHADA ENVIDRAÇADA (Fórmulas exemplificativas de cálculo para área externa - item 3.4 do Anexo VI-B).</t>
  </si>
  <si>
    <t xml:space="preserve">JORNADA NO MÊS   ( III )
(em horas)</t>
  </si>
  <si>
    <t xml:space="preserve">CUSTO POR M² TOTAL - FACHADA ENVIDRAÇADA</t>
  </si>
  <si>
    <t xml:space="preserve">ÁREA MÉDICO HOSPITALAR E ASSEMELHADOS (Fórmulas exemplificativas de cálculo para área externa - item 3.5 do Anexo VI-B).</t>
  </si>
  <si>
    <t xml:space="preserve">CUSTO POR M² TOTAL - ÁREA MÉDICO HOSPITALAR</t>
  </si>
  <si>
    <t xml:space="preserve">LIMITE MÁXIMO PARA A CONTRATAÇÃO</t>
  </si>
  <si>
    <t xml:space="preserve">TIPO DE ÁREA</t>
  </si>
  <si>
    <t xml:space="preserve">ÁREA (m²)</t>
  </si>
  <si>
    <t xml:space="preserve">CUSTO MENSAL ESTIMADO
 (R$/m²)</t>
  </si>
  <si>
    <t xml:space="preserve">LIMITE POR TIPO DE ÁREA (R$)</t>
  </si>
  <si>
    <t xml:space="preserve">TOTAL
(D)</t>
  </si>
  <si>
    <t xml:space="preserve">E = (C X D)</t>
  </si>
  <si>
    <t xml:space="preserve">QUADRO RESUMO - VALOR MENSAL DOS SERVIÇOS</t>
  </si>
  <si>
    <t xml:space="preserve">ITEM</t>
  </si>
  <si>
    <t xml:space="preserve">Local da Execução dos Serviços</t>
  </si>
  <si>
    <t xml:space="preserve">Qtde de empregados
(A)</t>
  </si>
  <si>
    <t xml:space="preserve">Valor por empregado (R$)
(B)</t>
  </si>
  <si>
    <t xml:space="preserve">Valor total do serviço
(R$)
C = (AxB)</t>
  </si>
  <si>
    <t xml:space="preserve">I</t>
  </si>
  <si>
    <t xml:space="preserve">II</t>
  </si>
  <si>
    <t xml:space="preserve">III</t>
  </si>
  <si>
    <t xml:space="preserve">VALOR MENSAL DOS SERVIÇOS (I + II + III)</t>
  </si>
  <si>
    <t xml:space="preserve">QUADRO RESUMO - ENCARGOS SOCIAIS E TRABALHISTAS EFETIVOS</t>
  </si>
  <si>
    <t xml:space="preserve">Conta</t>
  </si>
  <si>
    <t xml:space="preserve">Total de Encargos Sociais e Trabalhistas (A)*</t>
  </si>
  <si>
    <t xml:space="preserve">Remuneração (B)</t>
  </si>
  <si>
    <t xml:space="preserve">Encargos Sociais e Trabalhistas Efetivos (C = A / B)</t>
  </si>
  <si>
    <t xml:space="preserve">* Submódulo 2.1 + Submódulo 2.2 + Módulo 3 + Submódulo 4.1</t>
  </si>
  <si>
    <t xml:space="preserve">LIMITES PARA CONTRATAÇÃO, CONFORME PORTARIAS SEGES/ME (em R$/m²)</t>
  </si>
  <si>
    <t xml:space="preserve">CUSTO MENSAL ESTIMADO</t>
  </si>
  <si>
    <t xml:space="preserve">LIMITE MÍNIMO</t>
  </si>
  <si>
    <t xml:space="preserve">LIMITE MÁXIMO</t>
  </si>
  <si>
    <t xml:space="preserve">LIMITES PARA CONTRATAÇÃO, CONFORME ÁREA A SER LIMPA (em R$)</t>
  </si>
  <si>
    <t xml:space="preserve">Valor total do serviço</t>
  </si>
  <si>
    <t xml:space="preserve">Valor máximo a ser contratado (com base na área a ser limpa)</t>
  </si>
  <si>
    <t xml:space="preserve">O valor está em conformidade com o limite máximo a ser contratado com base na área?</t>
  </si>
  <si>
    <t xml:space="preserve">VALOR TOTAL</t>
  </si>
  <si>
    <t xml:space="preserve">Conforme produtividades previstas na Portaria nº 7, de 13 de abril de 2015.</t>
  </si>
  <si>
    <t xml:space="preserve">Atualizado em 06/11/2019</t>
  </si>
  <si>
    <t xml:space="preserve">UF</t>
  </si>
  <si>
    <t xml:space="preserve">A PARTIR DE</t>
  </si>
  <si>
    <t xml:space="preserve">ÁREA
INTERNA</t>
  </si>
  <si>
    <t xml:space="preserve">ÁREA
EXTERNA
(1200 M²)</t>
  </si>
  <si>
    <t xml:space="preserve">ESQUADRIA EXTERNA
(220 M²)</t>
  </si>
  <si>
    <t xml:space="preserve">FACHADA ENVIDRAÇADA
(110 M²)</t>
  </si>
  <si>
    <t xml:space="preserve">M²</t>
  </si>
  <si>
    <t xml:space="preserve">AC</t>
  </si>
  <si>
    <t xml:space="preserve">AL</t>
  </si>
  <si>
    <t xml:space="preserve">AM</t>
  </si>
  <si>
    <t xml:space="preserve">AP</t>
  </si>
  <si>
    <t xml:space="preserve">BA</t>
  </si>
  <si>
    <t xml:space="preserve">CE</t>
  </si>
  <si>
    <t xml:space="preserve">DF</t>
  </si>
  <si>
    <t xml:space="preserve">ES</t>
  </si>
  <si>
    <t xml:space="preserve">GO</t>
  </si>
  <si>
    <t xml:space="preserve">MA</t>
  </si>
  <si>
    <t xml:space="preserve">MG</t>
  </si>
  <si>
    <t xml:space="preserve">MS</t>
  </si>
  <si>
    <t xml:space="preserve">MT</t>
  </si>
  <si>
    <t xml:space="preserve">PA</t>
  </si>
  <si>
    <t xml:space="preserve">PB</t>
  </si>
  <si>
    <t xml:space="preserve">PI</t>
  </si>
  <si>
    <t xml:space="preserve">PR</t>
  </si>
  <si>
    <t xml:space="preserve">RJ</t>
  </si>
  <si>
    <t xml:space="preserve">RN</t>
  </si>
  <si>
    <t xml:space="preserve">RO</t>
  </si>
  <si>
    <t xml:space="preserve">RR</t>
  </si>
  <si>
    <t xml:space="preserve">RS</t>
  </si>
  <si>
    <t xml:space="preserve">SC</t>
  </si>
  <si>
    <t xml:space="preserve">SE</t>
  </si>
  <si>
    <t xml:space="preserve">SP</t>
  </si>
  <si>
    <t xml:space="preserve">TO</t>
  </si>
  <si>
    <t xml:space="preserve">MÉDIA</t>
  </si>
  <si>
    <t xml:space="preserve">MENOR VALOR</t>
  </si>
  <si>
    <t xml:space="preserve">MAIOR VALOR</t>
  </si>
  <si>
    <t xml:space="preserve">Conforme produtividades previstas na Portaria nº 213, de 25 de setembro de 2017.</t>
  </si>
  <si>
    <t xml:space="preserve">ÁREA INTERNA</t>
  </si>
  <si>
    <t xml:space="preserve">ÁREA EXTERNA</t>
  </si>
  <si>
    <t xml:space="preserve">ESQUADRIA EXTERNA</t>
  </si>
  <si>
    <t xml:space="preserve">FACHADA ENVIDRAÇADA</t>
  </si>
  <si>
    <t xml:space="preserve"> M²</t>
  </si>
  <si>
    <t xml:space="preserve"> MÍN.</t>
  </si>
  <si>
    <t xml:space="preserve"> MÁX.</t>
  </si>
  <si>
    <t xml:space="preserve">QTDE ESTIMADA DE SERVENTES</t>
  </si>
  <si>
    <t xml:space="preserve">PRODUTIVIDADE (1/m²)</t>
  </si>
  <si>
    <t xml:space="preserve">QTDE ESTIMADA</t>
  </si>
  <si>
    <t xml:space="preserve">(D)</t>
  </si>
  <si>
    <t xml:space="preserve">E = (C / D)</t>
  </si>
</sst>
</file>

<file path=xl/styles.xml><?xml version="1.0" encoding="utf-8"?>
<styleSheet xmlns="http://schemas.openxmlformats.org/spreadsheetml/2006/main">
  <numFmts count="21">
    <numFmt numFmtId="164" formatCode="General"/>
    <numFmt numFmtId="165" formatCode="d/m/yyyy"/>
    <numFmt numFmtId="166" formatCode="@"/>
    <numFmt numFmtId="167" formatCode="#,##0.00"/>
    <numFmt numFmtId="168" formatCode="_-* #,##0.00_-;\-* #,##0.00_-;_-* \-??_-;_-@_-"/>
    <numFmt numFmtId="169" formatCode="#,##0"/>
    <numFmt numFmtId="170" formatCode="#,##0.00_);\(#,##0.00\)"/>
    <numFmt numFmtId="171" formatCode="#,##0.0000;\-#,##0.0000"/>
    <numFmt numFmtId="172" formatCode="#,##0_);\(#,##0\)"/>
    <numFmt numFmtId="173" formatCode="0"/>
    <numFmt numFmtId="174" formatCode="#,##0.0"/>
    <numFmt numFmtId="175" formatCode="#,##0_ ;\-#,##0\ "/>
    <numFmt numFmtId="176" formatCode="0.00"/>
    <numFmt numFmtId="177" formatCode="General"/>
    <numFmt numFmtId="178" formatCode="#,##0.00_ ;\-#,##0.00\ "/>
    <numFmt numFmtId="179" formatCode="0.000000000"/>
    <numFmt numFmtId="180" formatCode="0.000000"/>
    <numFmt numFmtId="181" formatCode="&quot;R$ &quot;#,##0.00"/>
    <numFmt numFmtId="182" formatCode="0.00%"/>
    <numFmt numFmtId="183" formatCode="&quot;R$ &quot;#,##0.00;[RED]&quot;-R$ &quot;#,##0.00"/>
    <numFmt numFmtId="184" formatCode="dd/mm/yy;@"/>
  </numFmts>
  <fonts count="3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8"/>
      <color rgb="FF003366"/>
      <name val="Cambria"/>
      <family val="2"/>
      <charset val="1"/>
    </font>
    <font>
      <b val="true"/>
      <sz val="15"/>
      <color rgb="FF003366"/>
      <name val="Calibri"/>
      <family val="2"/>
      <charset val="1"/>
    </font>
    <font>
      <sz val="11"/>
      <name val="Segoe UI Light"/>
      <family val="2"/>
      <charset val="1"/>
    </font>
    <font>
      <sz val="14"/>
      <name val="Segoe UI Light"/>
      <family val="2"/>
      <charset val="1"/>
    </font>
    <font>
      <b val="true"/>
      <sz val="18"/>
      <color theme="5" tint="-0.25"/>
      <name val="Segoe UI Light"/>
      <family val="2"/>
      <charset val="1"/>
    </font>
    <font>
      <sz val="8"/>
      <name val="Segoe UI Light"/>
      <family val="2"/>
      <charset val="1"/>
    </font>
    <font>
      <b val="true"/>
      <sz val="16"/>
      <color theme="5" tint="-0.5"/>
      <name val="Segoe UI Light"/>
      <family val="2"/>
      <charset val="1"/>
    </font>
    <font>
      <b val="true"/>
      <sz val="10"/>
      <color theme="0"/>
      <name val="Segoe UI Light"/>
      <family val="2"/>
      <charset val="1"/>
    </font>
    <font>
      <b val="true"/>
      <sz val="11"/>
      <color theme="0"/>
      <name val="Segoe UI Light"/>
      <family val="2"/>
      <charset val="1"/>
    </font>
    <font>
      <b val="true"/>
      <sz val="11"/>
      <name val="Segoe UI Light"/>
      <family val="2"/>
      <charset val="1"/>
    </font>
    <font>
      <sz val="10"/>
      <color theme="0"/>
      <name val="Segoe UI Light"/>
      <family val="2"/>
      <charset val="1"/>
    </font>
    <font>
      <sz val="11"/>
      <color rgb="FFFF0000"/>
      <name val="Segoe UI Light"/>
      <family val="2"/>
      <charset val="1"/>
    </font>
    <font>
      <sz val="11"/>
      <color theme="0"/>
      <name val="Segoe UI Light"/>
      <family val="2"/>
      <charset val="1"/>
    </font>
    <font>
      <b val="true"/>
      <sz val="10"/>
      <name val="Segoe UI Light"/>
      <family val="2"/>
      <charset val="1"/>
    </font>
    <font>
      <b val="true"/>
      <sz val="11"/>
      <color theme="5" tint="-0.5"/>
      <name val="Segoe UI Light"/>
      <family val="2"/>
      <charset val="1"/>
    </font>
    <font>
      <i val="true"/>
      <sz val="10"/>
      <color theme="0"/>
      <name val="Segoe UI Light"/>
      <family val="2"/>
      <charset val="1"/>
    </font>
    <font>
      <b val="true"/>
      <sz val="14"/>
      <color theme="5" tint="-0.25"/>
      <name val="Segoe UI Light"/>
      <family val="2"/>
      <charset val="1"/>
    </font>
    <font>
      <sz val="11"/>
      <color theme="5" tint="-0.25"/>
      <name val="Segoe UI Light"/>
      <family val="2"/>
      <charset val="1"/>
    </font>
    <font>
      <sz val="10"/>
      <name val="Arial"/>
      <family val="2"/>
    </font>
    <font>
      <b val="true"/>
      <sz val="12"/>
      <color theme="5" tint="-0.5"/>
      <name val="Segoe UI Light"/>
      <family val="2"/>
      <charset val="1"/>
    </font>
    <font>
      <i val="true"/>
      <sz val="10"/>
      <name val="Segoe UI Light"/>
      <family val="2"/>
      <charset val="1"/>
    </font>
    <font>
      <b val="true"/>
      <sz val="14"/>
      <color theme="5" tint="-0.5"/>
      <name val="Segoe UI Light"/>
      <family val="2"/>
      <charset val="1"/>
    </font>
    <font>
      <sz val="10"/>
      <name val="Segoe UI Light"/>
      <family val="2"/>
      <charset val="1"/>
    </font>
    <font>
      <b val="true"/>
      <sz val="14"/>
      <color theme="9" tint="-0.5"/>
      <name val="Segoe UI Light"/>
      <family val="2"/>
      <charset val="1"/>
    </font>
    <font>
      <b val="true"/>
      <sz val="12"/>
      <color theme="9" tint="-0.5"/>
      <name val="Segoe UI Light"/>
      <family val="2"/>
      <charset val="1"/>
    </font>
    <font>
      <sz val="10"/>
      <color rgb="FFFF0000"/>
      <name val="Segoe UI Light"/>
      <family val="2"/>
      <charset val="1"/>
    </font>
    <font>
      <b val="true"/>
      <sz val="11"/>
      <color theme="9" tint="-0.5"/>
      <name val="Segoe UI Light"/>
      <family val="2"/>
      <charset val="1"/>
    </font>
    <font>
      <sz val="10"/>
      <color theme="9" tint="-0.5"/>
      <name val="Segoe UI Light"/>
      <family val="2"/>
      <charset val="1"/>
    </font>
    <font>
      <sz val="8"/>
      <color theme="9" tint="-0.5"/>
      <name val="Segoe UI Light"/>
      <family val="2"/>
      <charset val="1"/>
    </font>
    <font>
      <b val="true"/>
      <sz val="14"/>
      <name val="Segoe UI Light"/>
      <family val="2"/>
      <charset val="1"/>
    </font>
    <font>
      <b val="true"/>
      <i val="true"/>
      <sz val="10"/>
      <name val="Segoe UI Light"/>
      <family val="2"/>
      <charset val="1"/>
    </font>
    <font>
      <b val="true"/>
      <i val="true"/>
      <sz val="10"/>
      <color theme="9" tint="-0.5"/>
      <name val="Segoe UI Light"/>
      <family val="2"/>
      <charset val="1"/>
    </font>
    <font>
      <b val="tru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rgb="FFF2F2F2"/>
      </patternFill>
    </fill>
    <fill>
      <patternFill patternType="solid">
        <fgColor theme="9"/>
        <bgColor rgb="FFFF8080"/>
      </patternFill>
    </fill>
    <fill>
      <patternFill patternType="solid">
        <fgColor theme="9" tint="0.7999"/>
        <bgColor rgb="FFF2F2F2"/>
      </patternFill>
    </fill>
    <fill>
      <patternFill patternType="solid">
        <fgColor rgb="FFD55816"/>
        <bgColor rgb="FF984807"/>
      </patternFill>
    </fill>
    <fill>
      <patternFill patternType="solid">
        <fgColor theme="9" tint="0.5999"/>
        <bgColor rgb="FFFDEADA"/>
      </patternFill>
    </fill>
    <fill>
      <patternFill patternType="solid">
        <fgColor theme="9" tint="0.3999"/>
        <bgColor rgb="FFFCD5B5"/>
      </patternFill>
    </fill>
  </fills>
  <borders count="21">
    <border diagonalUp="false" diagonalDown="false">
      <left/>
      <right/>
      <top/>
      <bottom/>
      <diagonal/>
    </border>
    <border diagonalUp="false" diagonalDown="false">
      <left/>
      <right/>
      <top/>
      <bottom style="thick">
        <color rgb="FF333399"/>
      </bottom>
      <diagonal/>
    </border>
    <border diagonalUp="false" diagonalDown="false">
      <left style="thin">
        <color theme="0" tint="-0.05"/>
      </left>
      <right style="thin">
        <color theme="0" tint="-0.05"/>
      </right>
      <top style="thin">
        <color theme="0" tint="-0.05"/>
      </top>
      <bottom style="thin">
        <color theme="0" tint="-0.05"/>
      </bottom>
      <diagonal/>
    </border>
    <border diagonalUp="false" diagonalDown="false">
      <left style="thin">
        <color theme="0" tint="-0.05"/>
      </left>
      <right/>
      <top style="thin">
        <color theme="0" tint="-0.05"/>
      </top>
      <bottom style="thin">
        <color theme="0" tint="-0.05"/>
      </bottom>
      <diagonal/>
    </border>
    <border diagonalUp="false" diagonalDown="false">
      <left/>
      <right/>
      <top style="thin">
        <color theme="0" tint="-0.05"/>
      </top>
      <bottom style="thin">
        <color theme="0" tint="-0.05"/>
      </bottom>
      <diagonal/>
    </border>
    <border diagonalUp="false" diagonalDown="false">
      <left/>
      <right style="thin">
        <color theme="0" tint="-0.05"/>
      </right>
      <top style="thin">
        <color theme="0" tint="-0.05"/>
      </top>
      <bottom style="thin">
        <color theme="0" tint="-0.05"/>
      </bottom>
      <diagonal/>
    </border>
    <border diagonalUp="false" diagonalDown="false">
      <left style="thin">
        <color theme="0" tint="-0.05"/>
      </left>
      <right style="thin">
        <color theme="0" tint="-0.05"/>
      </right>
      <top/>
      <bottom style="thin">
        <color theme="0" tint="-0.05"/>
      </bottom>
      <diagonal/>
    </border>
    <border diagonalUp="false" diagonalDown="false">
      <left style="thin">
        <color theme="0" tint="-0.05"/>
      </left>
      <right style="thin">
        <color theme="0" tint="-0.05"/>
      </right>
      <top style="thin">
        <color theme="0" tint="-0.05"/>
      </top>
      <bottom/>
      <diagonal/>
    </border>
    <border diagonalUp="false" diagonalDown="false">
      <left/>
      <right style="thin">
        <color theme="0" tint="-0.05"/>
      </right>
      <top/>
      <bottom/>
      <diagonal/>
    </border>
    <border diagonalUp="false" diagonalDown="false">
      <left/>
      <right/>
      <top style="thin">
        <color theme="0" tint="-0.05"/>
      </top>
      <bottom/>
      <diagonal/>
    </border>
    <border diagonalUp="false" diagonalDown="false">
      <left style="thin">
        <color theme="0" tint="-0.15"/>
      </left>
      <right style="thin">
        <color theme="0" tint="-0.15"/>
      </right>
      <top style="thin">
        <color theme="0" tint="-0.15"/>
      </top>
      <bottom style="thin">
        <color theme="0" tint="-0.15"/>
      </bottom>
      <diagonal/>
    </border>
    <border diagonalUp="false" diagonalDown="false">
      <left style="thin">
        <color theme="0" tint="-0.05"/>
      </left>
      <right style="thin">
        <color theme="0" tint="-0.05"/>
      </right>
      <top/>
      <bottom/>
      <diagonal/>
    </border>
    <border diagonalUp="false" diagonalDown="false">
      <left/>
      <right/>
      <top/>
      <bottom style="thin">
        <color theme="0" tint="-0.05"/>
      </bottom>
      <diagonal/>
    </border>
    <border diagonalUp="false" diagonalDown="false">
      <left style="thin">
        <color theme="0" tint="-0.05"/>
      </left>
      <right/>
      <top/>
      <bottom style="thin">
        <color theme="0" tint="-0.05"/>
      </bottom>
      <diagonal/>
    </border>
    <border diagonalUp="false" diagonalDown="false">
      <left/>
      <right style="thin">
        <color theme="0" tint="-0.05"/>
      </right>
      <top/>
      <bottom style="thin">
        <color theme="0" tint="-0.05"/>
      </bottom>
      <diagonal/>
    </border>
    <border diagonalUp="false" diagonalDown="false">
      <left style="thin">
        <color theme="0" tint="-0.05"/>
      </left>
      <right/>
      <top/>
      <bottom/>
      <diagonal/>
    </border>
    <border diagonalUp="false" diagonalDown="false">
      <left style="thin">
        <color theme="0" tint="-0.05"/>
      </left>
      <right style="thin">
        <color rgb="FFD3D3D3"/>
      </right>
      <top style="thin">
        <color theme="0" tint="-0.05"/>
      </top>
      <bottom style="thin">
        <color theme="0" tint="-0.05"/>
      </bottom>
      <diagonal/>
    </border>
    <border diagonalUp="false" diagonalDown="false">
      <left style="thin">
        <color rgb="FFD3D3D3"/>
      </left>
      <right style="thin">
        <color rgb="FFD3D3D3"/>
      </right>
      <top style="thin">
        <color theme="0" tint="-0.05"/>
      </top>
      <bottom style="thin">
        <color rgb="FFD3D3D3"/>
      </bottom>
      <diagonal/>
    </border>
    <border diagonalUp="false" diagonalDown="false">
      <left style="thin">
        <color rgb="FFD3D3D3"/>
      </left>
      <right/>
      <top style="thin">
        <color theme="0" tint="-0.05"/>
      </top>
      <bottom style="thin">
        <color rgb="FFD3D3D3"/>
      </bottom>
      <diagonal/>
    </border>
    <border diagonalUp="false" diagonalDown="false">
      <left style="medium">
        <color rgb="FFE8E7E7"/>
      </left>
      <right style="medium">
        <color rgb="FFE8E7E7"/>
      </right>
      <top style="medium">
        <color rgb="FFE8E7E7"/>
      </top>
      <bottom style="medium">
        <color rgb="FFE8E7E7"/>
      </bottom>
      <diagonal/>
    </border>
    <border diagonalUp="false" diagonalDown="false">
      <left/>
      <right style="medium">
        <color rgb="FFE8E7E7"/>
      </right>
      <top style="medium">
        <color rgb="FFE8E7E7"/>
      </top>
      <bottom style="medium">
        <color rgb="FFE8E7E7"/>
      </bottom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1" applyFont="true" applyBorder="true" applyAlignment="true" applyProtection="false">
      <alignment horizontal="general" vertical="bottom" textRotation="0" wrapText="false" indent="0" shrinkToFit="false"/>
    </xf>
  </cellStyleXfs>
  <cellXfs count="25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3" borderId="2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8" fillId="2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4" borderId="3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7" fillId="3" borderId="4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9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2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5" borderId="3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1" fillId="5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6" fillId="3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2" fillId="5" borderId="6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1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6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3" borderId="2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2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4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3" borderId="2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6" fillId="3" borderId="2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3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2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6" fontId="6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4" fillId="5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6" fillId="3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6" fillId="3" borderId="2" xfId="15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12" fillId="5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6" fillId="3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2" fillId="5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5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6" fillId="3" borderId="2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7" fontId="15" fillId="3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3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4" borderId="2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6" fillId="3" borderId="2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6" fillId="4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5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6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5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6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2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3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2" fillId="5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5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5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6" borderId="7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6" fontId="6" fillId="6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3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6" fillId="3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3" fillId="4" borderId="8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6" fontId="6" fillId="4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6" fillId="3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6" fillId="3" borderId="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3" fillId="6" borderId="8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2" fillId="5" borderId="9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6" fillId="3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6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6" fillId="4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2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7" fontId="6" fillId="3" borderId="2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12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5" fontId="6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0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8" fillId="2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70" fontId="6" fillId="2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2" fillId="5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0" fontId="6" fillId="4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6" fillId="3" borderId="2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70" fontId="6" fillId="3" borderId="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7" fontId="6" fillId="3" borderId="2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15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6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2" fillId="5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6" fillId="3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0" fontId="6" fillId="3" borderId="2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6" fillId="4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5" borderId="5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2" fontId="6" fillId="3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3" fontId="6" fillId="3" borderId="2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70" fontId="6" fillId="3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3" fillId="2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70" fontId="13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7" fontId="6" fillId="3" borderId="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2" fillId="5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5" borderId="1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5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5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6" borderId="1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0" fontId="6" fillId="3" borderId="10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6" fillId="4" borderId="1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8" fillId="2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2" fillId="5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6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0" fontId="6" fillId="3" borderId="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9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2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21" fillId="2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70" fontId="21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9" fontId="6" fillId="6" borderId="2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9" fontId="6" fillId="4" borderId="2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74" fontId="6" fillId="4" borderId="2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70" fontId="6" fillId="6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2" fontId="6" fillId="4" borderId="2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72" fontId="6" fillId="6" borderId="2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70" fontId="6" fillId="6" borderId="2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6" fillId="4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0" fontId="6" fillId="4" borderId="2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75" fontId="6" fillId="6" borderId="2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76" fontId="6" fillId="6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6" fontId="6" fillId="6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6" fontId="6" fillId="4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8" fillId="2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5" borderId="2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76" fontId="12" fillId="5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6" borderId="2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4" fontId="6" fillId="4" borderId="2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4" fontId="6" fillId="6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7" fontId="7" fillId="6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7" fontId="7" fillId="4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7" fillId="4" borderId="3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7" fillId="4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6" fillId="6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7" fontId="6" fillId="4" borderId="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6" fontId="6" fillId="4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3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6" fillId="6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6" fontId="6" fillId="6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0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77" fontId="6" fillId="4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6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7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6" fillId="4" borderId="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1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6" fillId="6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6" fillId="4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12" fillId="5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6" fontId="6" fillId="6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6" fillId="6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6" fontId="6" fillId="4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6" fillId="4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12" fillId="5" borderId="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8" fillId="2" borderId="0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7" fontId="6" fillId="4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8" fontId="6" fillId="4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6" fillId="6" borderId="1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6" fillId="4" borderId="1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6" fillId="4" borderId="1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12" fillId="5" borderId="1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6" fillId="6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6" fillId="4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4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70" fontId="24" fillId="4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24" fillId="4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4" fillId="6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70" fontId="24" fillId="6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24" fillId="6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12" fillId="5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5" fillId="2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70" fontId="6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6" fillId="4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5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70" fontId="12" fillId="5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26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9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7" fontId="7" fillId="6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7" fontId="7" fillId="4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7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8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9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8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30" fillId="2" borderId="0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6" fillId="5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9" fontId="6" fillId="6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6" fillId="6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6" fontId="6" fillId="6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9" fontId="6" fillId="4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6" fillId="4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6" fontId="6" fillId="4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5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6" fontId="12" fillId="5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3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6" fontId="13" fillId="2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31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6" fontId="13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9" fontId="6" fillId="6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0" fontId="6" fillId="6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6" fillId="4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0" fontId="6" fillId="4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7" fillId="2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0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2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3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7" fontId="6" fillId="6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6" fillId="4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5" borderId="1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12" fillId="5" borderId="2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6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5" fillId="2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6" fillId="7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9" fontId="6" fillId="7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6" fillId="7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6" fillId="7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6" fillId="4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9" fontId="12" fillId="5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2" fillId="5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5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7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81" fontId="6" fillId="7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81" fontId="6" fillId="4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82" fontId="12" fillId="5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5" fillId="2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2" fontId="12" fillId="5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5" fillId="2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5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26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8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2" fillId="5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5" borderId="1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5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5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2" fillId="5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6" fillId="7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3" fontId="3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83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83" fontId="3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83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2" fillId="5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5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5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5" borderId="3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2" fillId="5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5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84" fontId="12" fillId="5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3" fontId="37" fillId="2" borderId="1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3" fontId="38" fillId="2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3" fontId="37" fillId="2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7" fillId="2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6" fillId="6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6" fillId="4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2" fillId="5" borderId="2" xfId="15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Título 1 1" xfId="20"/>
    <cellStyle name="Título 1 1 1" xfId="21"/>
  </cellStyles>
  <dxfs count="3">
    <dxf>
      <font>
        <b val="1"/>
        <i val="0"/>
        <color rgb="FFC00000"/>
      </font>
    </dxf>
    <dxf>
      <font>
        <b val="1"/>
        <i val="0"/>
        <color rgb="FFC00000"/>
      </font>
    </dxf>
    <dxf>
      <font>
        <b val="1"/>
        <i val="0"/>
        <color rgb="FFC00000"/>
      </font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D9D9D9"/>
      <rgbColor rgb="FF808080"/>
      <rgbColor rgb="FF9999FF"/>
      <rgbColor rgb="FF953735"/>
      <rgbColor rgb="FFFDEADA"/>
      <rgbColor rgb="FFF2F2F2"/>
      <rgbColor rgb="FF660066"/>
      <rgbColor rgb="FFFF8080"/>
      <rgbColor rgb="FF0066CC"/>
      <rgbColor rgb="FFD3D3D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8E7E7"/>
      <rgbColor rgb="FFCCFFCC"/>
      <rgbColor rgb="FFFCD5B5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79646"/>
      <rgbColor rgb="FFD55816"/>
      <rgbColor rgb="FF666699"/>
      <rgbColor rgb="FF969696"/>
      <rgbColor rgb="FF003366"/>
      <rgbColor rgb="FF339966"/>
      <rgbColor rgb="FF003300"/>
      <rgbColor rgb="FF333300"/>
      <rgbColor rgb="FF984807"/>
      <rgbColor rgb="FF993366"/>
      <rgbColor rgb="FF333399"/>
      <rgbColor rgb="FF63252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worksheet" Target="worksheets/sheet8.xml"/><Relationship Id="rId11" Type="http://schemas.openxmlformats.org/officeDocument/2006/relationships/worksheet" Target="worksheets/sheet9.xml"/><Relationship Id="rId12" Type="http://schemas.openxmlformats.org/officeDocument/2006/relationships/worksheet" Target="worksheets/sheet10.xml"/><Relationship Id="rId13" Type="http://schemas.openxmlformats.org/officeDocument/2006/relationships/worksheet" Target="worksheets/sheet11.xml"/><Relationship Id="rId1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</xdr:col>
      <xdr:colOff>0</xdr:colOff>
      <xdr:row>23</xdr:row>
      <xdr:rowOff>110520</xdr:rowOff>
    </xdr:from>
    <xdr:to>
      <xdr:col>1</xdr:col>
      <xdr:colOff>5040</xdr:colOff>
      <xdr:row>24</xdr:row>
      <xdr:rowOff>144720</xdr:rowOff>
    </xdr:to>
    <xdr:sp>
      <xdr:nvSpPr>
        <xdr:cNvPr id="0" name="Text 13"/>
        <xdr:cNvSpPr/>
      </xdr:nvSpPr>
      <xdr:spPr>
        <a:xfrm>
          <a:off x="80640" y="4334040"/>
          <a:ext cx="5040" cy="19584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Tema do Office">
  <a:themeElements>
    <a:clrScheme name="Escritório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N7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3" activeCellId="0" sqref="C3"/>
    </sheetView>
  </sheetViews>
  <sheetFormatPr defaultColWidth="9.1484375" defaultRowHeight="16.5" zeroHeight="false" outlineLevelRow="0" outlineLevelCol="0"/>
  <cols>
    <col collapsed="false" customWidth="true" hidden="false" outlineLevel="0" max="1" min="1" style="1" width="2.71"/>
    <col collapsed="false" customWidth="true" hidden="false" outlineLevel="0" max="2" min="2" style="1" width="8.86"/>
    <col collapsed="false" customWidth="true" hidden="false" outlineLevel="0" max="3" min="3" style="1" width="52.57"/>
    <col collapsed="false" customWidth="true" hidden="false" outlineLevel="0" max="4" min="4" style="1" width="9.71"/>
    <col collapsed="false" customWidth="true" hidden="false" outlineLevel="0" max="5" min="5" style="1" width="14.71"/>
    <col collapsed="false" customWidth="true" hidden="false" outlineLevel="0" max="6" min="6" style="1" width="18.14"/>
    <col collapsed="false" customWidth="true" hidden="false" outlineLevel="0" max="7" min="7" style="1" width="5.29"/>
    <col collapsed="false" customWidth="true" hidden="false" outlineLevel="0" max="8" min="8" style="1" width="20.71"/>
    <col collapsed="false" customWidth="true" hidden="false" outlineLevel="0" max="9" min="9" style="1" width="11.85"/>
    <col collapsed="false" customWidth="true" hidden="false" outlineLevel="0" max="10" min="10" style="1" width="11.57"/>
    <col collapsed="false" customWidth="true" hidden="false" outlineLevel="0" max="11" min="11" style="1" width="12.15"/>
    <col collapsed="false" customWidth="true" hidden="false" outlineLevel="0" max="12" min="12" style="1" width="13"/>
    <col collapsed="false" customWidth="true" hidden="false" outlineLevel="0" max="13" min="13" style="1" width="9.57"/>
    <col collapsed="false" customWidth="true" hidden="false" outlineLevel="0" max="14" min="14" style="1" width="12.57"/>
    <col collapsed="false" customWidth="false" hidden="false" outlineLevel="0" max="16384" min="15" style="1" width="9.14"/>
  </cols>
  <sheetData>
    <row r="1" customFormat="false" ht="17.35" hidden="false" customHeight="true" outlineLevel="0" collapsed="false">
      <c r="B1" s="2" t="s">
        <v>0</v>
      </c>
      <c r="C1" s="2"/>
      <c r="D1" s="2"/>
      <c r="E1" s="2"/>
      <c r="F1" s="2"/>
      <c r="H1" s="3" t="s">
        <v>1</v>
      </c>
      <c r="I1" s="3"/>
      <c r="J1" s="3"/>
      <c r="K1" s="3"/>
      <c r="L1" s="3"/>
      <c r="M1" s="3"/>
      <c r="N1" s="3"/>
    </row>
    <row r="2" customFormat="false" ht="17.35" hidden="false" customHeight="false" outlineLevel="0" collapsed="false">
      <c r="B2" s="2" t="s">
        <v>2</v>
      </c>
      <c r="C2" s="2"/>
      <c r="D2" s="2"/>
      <c r="E2" s="4" t="s">
        <v>3</v>
      </c>
      <c r="F2" s="5" t="n">
        <v>45859</v>
      </c>
      <c r="H2" s="3"/>
      <c r="I2" s="3"/>
      <c r="J2" s="3"/>
      <c r="K2" s="3"/>
      <c r="L2" s="3"/>
      <c r="M2" s="3"/>
      <c r="N2" s="3"/>
    </row>
    <row r="3" customFormat="false" ht="16.5" hidden="false" customHeight="false" outlineLevel="0" collapsed="false">
      <c r="B3" s="6"/>
      <c r="C3" s="6"/>
      <c r="D3" s="6"/>
      <c r="E3" s="6"/>
      <c r="F3" s="6"/>
      <c r="H3" s="3"/>
      <c r="I3" s="3"/>
      <c r="J3" s="3"/>
      <c r="K3" s="3"/>
      <c r="L3" s="3"/>
      <c r="M3" s="3"/>
      <c r="N3" s="3"/>
    </row>
    <row r="4" s="6" customFormat="true" ht="25.5" hidden="false" customHeight="true" outlineLevel="0" collapsed="false">
      <c r="B4" s="7" t="s">
        <v>4</v>
      </c>
      <c r="C4" s="7"/>
      <c r="D4" s="7"/>
      <c r="E4" s="7"/>
      <c r="F4" s="7"/>
      <c r="H4" s="8" t="s">
        <v>5</v>
      </c>
      <c r="I4" s="8"/>
      <c r="J4" s="8"/>
      <c r="K4" s="8"/>
      <c r="L4" s="8"/>
      <c r="M4" s="9" t="s">
        <v>6</v>
      </c>
      <c r="N4" s="10"/>
    </row>
    <row r="5" s="6" customFormat="true" ht="15.75" hidden="false" customHeight="true" outlineLevel="0" collapsed="false">
      <c r="B5" s="11" t="s">
        <v>7</v>
      </c>
      <c r="C5" s="11"/>
      <c r="D5" s="11"/>
      <c r="E5" s="11"/>
      <c r="F5" s="11"/>
      <c r="H5" s="12" t="s">
        <v>8</v>
      </c>
      <c r="I5" s="12"/>
      <c r="J5" s="12"/>
      <c r="K5" s="12"/>
      <c r="L5" s="12"/>
      <c r="M5" s="12"/>
      <c r="N5" s="12"/>
    </row>
    <row r="6" s="6" customFormat="true" ht="15.75" hidden="false" customHeight="true" outlineLevel="0" collapsed="false">
      <c r="B6" s="13" t="s">
        <v>9</v>
      </c>
      <c r="C6" s="13"/>
      <c r="D6" s="14" t="s">
        <v>10</v>
      </c>
      <c r="E6" s="14"/>
      <c r="F6" s="14"/>
      <c r="H6" s="15" t="s">
        <v>11</v>
      </c>
      <c r="I6" s="12" t="s">
        <v>12</v>
      </c>
      <c r="J6" s="12" t="s">
        <v>13</v>
      </c>
      <c r="K6" s="12" t="s">
        <v>14</v>
      </c>
      <c r="L6" s="12" t="s">
        <v>15</v>
      </c>
      <c r="M6" s="12" t="s">
        <v>16</v>
      </c>
      <c r="N6" s="12" t="s">
        <v>17</v>
      </c>
    </row>
    <row r="7" s="6" customFormat="true" ht="16.5" hidden="false" customHeight="false" outlineLevel="0" collapsed="false">
      <c r="B7" s="16" t="s">
        <v>18</v>
      </c>
      <c r="C7" s="16"/>
      <c r="D7" s="17" t="s">
        <v>19</v>
      </c>
      <c r="E7" s="17"/>
      <c r="F7" s="18" t="s">
        <v>20</v>
      </c>
      <c r="H7" s="15"/>
      <c r="I7" s="12"/>
      <c r="J7" s="12"/>
      <c r="K7" s="12"/>
      <c r="L7" s="12"/>
      <c r="M7" s="12"/>
      <c r="N7" s="12"/>
    </row>
    <row r="8" s="6" customFormat="true" ht="15.75" hidden="false" customHeight="true" outlineLevel="0" collapsed="false">
      <c r="B8" s="13" t="s">
        <v>21</v>
      </c>
      <c r="C8" s="13"/>
      <c r="D8" s="18" t="s">
        <v>22</v>
      </c>
      <c r="E8" s="18"/>
      <c r="F8" s="18" t="s">
        <v>23</v>
      </c>
      <c r="H8" s="15"/>
      <c r="I8" s="12" t="s">
        <v>24</v>
      </c>
      <c r="J8" s="12" t="s">
        <v>25</v>
      </c>
      <c r="K8" s="12" t="s">
        <v>26</v>
      </c>
      <c r="L8" s="12" t="s">
        <v>27</v>
      </c>
      <c r="M8" s="12"/>
      <c r="N8" s="12"/>
    </row>
    <row r="9" s="6" customFormat="true" ht="16.5" hidden="false" customHeight="false" outlineLevel="0" collapsed="false">
      <c r="C9" s="19"/>
      <c r="D9" s="20"/>
      <c r="E9" s="20"/>
      <c r="F9" s="21"/>
      <c r="H9" s="22" t="s">
        <v>28</v>
      </c>
      <c r="I9" s="23" t="n">
        <v>4212</v>
      </c>
      <c r="J9" s="24"/>
      <c r="K9" s="24" t="n">
        <v>2965.36</v>
      </c>
      <c r="L9" s="25" t="n">
        <f aca="false">SUM(I9:K9)</f>
        <v>7177.36</v>
      </c>
      <c r="M9" s="26" t="n">
        <v>800</v>
      </c>
      <c r="N9" s="27"/>
    </row>
    <row r="10" s="6" customFormat="true" ht="15.75" hidden="false" customHeight="true" outlineLevel="0" collapsed="false">
      <c r="B10" s="11" t="s">
        <v>29</v>
      </c>
      <c r="C10" s="11"/>
      <c r="D10" s="11"/>
      <c r="E10" s="11"/>
      <c r="F10" s="11"/>
      <c r="H10" s="22" t="s">
        <v>30</v>
      </c>
      <c r="I10" s="23" t="n">
        <v>6880</v>
      </c>
      <c r="J10" s="24"/>
      <c r="K10" s="24" t="n">
        <v>10122.12</v>
      </c>
      <c r="L10" s="25" t="n">
        <f aca="false">SUM(I10:K10)</f>
        <v>17002.12</v>
      </c>
      <c r="M10" s="26" t="n">
        <v>1800</v>
      </c>
      <c r="N10" s="27"/>
    </row>
    <row r="11" s="6" customFormat="true" ht="18" hidden="false" customHeight="true" outlineLevel="0" collapsed="false">
      <c r="B11" s="28" t="s">
        <v>31</v>
      </c>
      <c r="C11" s="13" t="s">
        <v>32</v>
      </c>
      <c r="D11" s="13"/>
      <c r="E11" s="13"/>
      <c r="F11" s="29" t="s">
        <v>22</v>
      </c>
      <c r="H11" s="22" t="s">
        <v>33</v>
      </c>
      <c r="I11" s="30"/>
      <c r="J11" s="24"/>
      <c r="K11" s="24"/>
      <c r="L11" s="25" t="n">
        <f aca="false">SUM(I11:K11)</f>
        <v>0</v>
      </c>
      <c r="M11" s="26"/>
      <c r="N11" s="31"/>
    </row>
    <row r="12" s="6" customFormat="true" ht="15.75" hidden="false" customHeight="true" outlineLevel="0" collapsed="false">
      <c r="B12" s="27" t="s">
        <v>34</v>
      </c>
      <c r="C12" s="32" t="s">
        <v>35</v>
      </c>
      <c r="D12" s="33"/>
      <c r="E12" s="33"/>
      <c r="F12" s="33"/>
      <c r="H12" s="22" t="s">
        <v>36</v>
      </c>
      <c r="I12" s="30"/>
      <c r="J12" s="24"/>
      <c r="K12" s="24"/>
      <c r="L12" s="25" t="n">
        <f aca="false">SUM(I12:K12)</f>
        <v>0</v>
      </c>
      <c r="M12" s="26"/>
      <c r="N12" s="31"/>
    </row>
    <row r="13" s="6" customFormat="true" ht="15.75" hidden="false" customHeight="true" outlineLevel="0" collapsed="false">
      <c r="B13" s="28" t="s">
        <v>37</v>
      </c>
      <c r="C13" s="13" t="s">
        <v>38</v>
      </c>
      <c r="D13" s="13"/>
      <c r="E13" s="13"/>
      <c r="F13" s="31" t="s">
        <v>39</v>
      </c>
      <c r="H13" s="22" t="s">
        <v>40</v>
      </c>
      <c r="I13" s="30"/>
      <c r="J13" s="24"/>
      <c r="K13" s="24"/>
      <c r="L13" s="25" t="n">
        <f aca="false">SUM(I13:K13)</f>
        <v>0</v>
      </c>
      <c r="M13" s="26"/>
      <c r="N13" s="27"/>
    </row>
    <row r="14" s="6" customFormat="true" ht="16.5" hidden="false" customHeight="true" outlineLevel="0" collapsed="false">
      <c r="B14" s="27" t="s">
        <v>41</v>
      </c>
      <c r="C14" s="34" t="s">
        <v>42</v>
      </c>
      <c r="D14" s="34"/>
      <c r="E14" s="34"/>
      <c r="F14" s="18" t="s">
        <v>43</v>
      </c>
      <c r="H14" s="12" t="s">
        <v>15</v>
      </c>
      <c r="I14" s="25" t="n">
        <f aca="false">SUM(I9:I13)</f>
        <v>11092</v>
      </c>
      <c r="J14" s="25" t="n">
        <f aca="false">SUM(J9:J13)</f>
        <v>0</v>
      </c>
      <c r="K14" s="25" t="n">
        <f aca="false">SUM(K9:K13)</f>
        <v>13087.48</v>
      </c>
      <c r="L14" s="25" t="n">
        <f aca="false">SUM(L9:L12)</f>
        <v>24179.48</v>
      </c>
      <c r="M14" s="35"/>
      <c r="N14" s="35"/>
    </row>
    <row r="15" s="6" customFormat="true" ht="15.75" hidden="false" customHeight="true" outlineLevel="0" collapsed="false">
      <c r="B15" s="27" t="s">
        <v>44</v>
      </c>
      <c r="C15" s="13" t="s">
        <v>45</v>
      </c>
      <c r="D15" s="13"/>
      <c r="E15" s="13"/>
      <c r="F15" s="36" t="n">
        <v>12</v>
      </c>
      <c r="H15" s="37" t="s">
        <v>46</v>
      </c>
      <c r="I15" s="37"/>
      <c r="J15" s="37"/>
      <c r="K15" s="37"/>
      <c r="L15" s="37"/>
      <c r="M15" s="37"/>
      <c r="N15" s="38" t="str">
        <f aca="false">IF(QTDE_DE_ENC&gt;=1,QTDE_DE_SERV/QTDE_DE_ENC,"")</f>
        <v/>
      </c>
    </row>
    <row r="16" s="6" customFormat="true" ht="15.75" hidden="false" customHeight="true" outlineLevel="0" collapsed="false">
      <c r="C16" s="19"/>
      <c r="D16" s="20"/>
      <c r="E16" s="20"/>
      <c r="F16" s="21"/>
      <c r="H16" s="39"/>
      <c r="I16" s="39"/>
      <c r="J16" s="39"/>
      <c r="K16" s="39"/>
      <c r="L16" s="39"/>
      <c r="M16" s="40"/>
      <c r="N16" s="40"/>
    </row>
    <row r="17" s="6" customFormat="true" ht="16.5" hidden="false" customHeight="true" outlineLevel="0" collapsed="false">
      <c r="B17" s="11" t="s">
        <v>47</v>
      </c>
      <c r="C17" s="11"/>
      <c r="D17" s="11"/>
      <c r="E17" s="11"/>
      <c r="F17" s="11"/>
      <c r="H17" s="15" t="s">
        <v>48</v>
      </c>
      <c r="I17" s="15"/>
      <c r="J17" s="15"/>
      <c r="K17" s="15"/>
      <c r="L17" s="15"/>
      <c r="M17" s="15"/>
      <c r="N17" s="15"/>
    </row>
    <row r="18" s="41" customFormat="true" ht="32.25" hidden="false" customHeight="true" outlineLevel="0" collapsed="false">
      <c r="B18" s="42" t="s">
        <v>49</v>
      </c>
      <c r="C18" s="27" t="s">
        <v>50</v>
      </c>
      <c r="D18" s="43" t="s">
        <v>51</v>
      </c>
      <c r="E18" s="44" t="s">
        <v>52</v>
      </c>
      <c r="F18" s="44" t="s">
        <v>53</v>
      </c>
      <c r="H18" s="45" t="s">
        <v>54</v>
      </c>
      <c r="I18" s="45"/>
      <c r="J18" s="45"/>
      <c r="K18" s="45"/>
      <c r="L18" s="45"/>
      <c r="M18" s="45"/>
      <c r="N18" s="45"/>
    </row>
    <row r="19" s="6" customFormat="true" ht="16.5" hidden="false" customHeight="true" outlineLevel="0" collapsed="false">
      <c r="B19" s="28" t="s">
        <v>55</v>
      </c>
      <c r="C19" s="46" t="s">
        <v>56</v>
      </c>
      <c r="D19" s="10"/>
      <c r="E19" s="47"/>
      <c r="F19" s="48"/>
      <c r="H19" s="49" t="s">
        <v>57</v>
      </c>
      <c r="I19" s="49"/>
      <c r="J19" s="49"/>
      <c r="K19" s="49"/>
      <c r="L19" s="49"/>
      <c r="M19" s="49"/>
      <c r="N19" s="49"/>
    </row>
    <row r="20" s="6" customFormat="true" ht="16.5" hidden="false" customHeight="true" outlineLevel="0" collapsed="false">
      <c r="B20" s="27" t="s">
        <v>58</v>
      </c>
      <c r="C20" s="50" t="s">
        <v>59</v>
      </c>
      <c r="D20" s="51" t="s">
        <v>60</v>
      </c>
      <c r="E20" s="52" t="n">
        <v>19</v>
      </c>
      <c r="F20" s="48" t="n">
        <v>1528.65</v>
      </c>
      <c r="H20" s="49"/>
      <c r="I20" s="49"/>
      <c r="J20" s="49"/>
      <c r="K20" s="49"/>
      <c r="L20" s="49"/>
      <c r="M20" s="49"/>
      <c r="N20" s="49"/>
    </row>
    <row r="21" s="6" customFormat="true" ht="16.5" hidden="false" customHeight="true" outlineLevel="0" collapsed="false">
      <c r="B21" s="28" t="s">
        <v>61</v>
      </c>
      <c r="C21" s="46" t="s">
        <v>62</v>
      </c>
      <c r="D21" s="10"/>
      <c r="E21" s="47"/>
      <c r="F21" s="48"/>
      <c r="H21" s="53" t="s">
        <v>63</v>
      </c>
      <c r="I21" s="53"/>
      <c r="J21" s="53"/>
      <c r="K21" s="53"/>
      <c r="L21" s="53"/>
      <c r="M21" s="53"/>
      <c r="N21" s="53"/>
    </row>
    <row r="22" s="6" customFormat="true" ht="15.75" hidden="false" customHeight="true" outlineLevel="0" collapsed="false">
      <c r="B22" s="54" t="s">
        <v>64</v>
      </c>
      <c r="C22" s="54"/>
      <c r="D22" s="54"/>
      <c r="E22" s="54"/>
      <c r="F22" s="55"/>
      <c r="H22" s="53"/>
      <c r="I22" s="53"/>
      <c r="J22" s="53"/>
      <c r="K22" s="53"/>
      <c r="L22" s="53"/>
      <c r="M22" s="53"/>
      <c r="N22" s="53"/>
    </row>
    <row r="23" s="6" customFormat="true" ht="15" hidden="false" customHeight="true" outlineLevel="0" collapsed="false">
      <c r="B23" s="56"/>
      <c r="C23" s="56"/>
      <c r="D23" s="56"/>
      <c r="E23" s="56"/>
      <c r="F23" s="56"/>
      <c r="H23" s="49" t="s">
        <v>65</v>
      </c>
      <c r="I23" s="49"/>
      <c r="J23" s="49"/>
      <c r="K23" s="49"/>
      <c r="L23" s="49"/>
      <c r="M23" s="49"/>
      <c r="N23" s="49"/>
    </row>
    <row r="24" s="6" customFormat="true" ht="15" hidden="false" customHeight="true" outlineLevel="0" collapsed="false">
      <c r="B24" s="11" t="s">
        <v>66</v>
      </c>
      <c r="C24" s="11"/>
      <c r="D24" s="11"/>
      <c r="E24" s="11"/>
      <c r="F24" s="11"/>
      <c r="H24" s="49"/>
      <c r="I24" s="49"/>
      <c r="J24" s="49"/>
      <c r="K24" s="49"/>
      <c r="L24" s="49"/>
      <c r="M24" s="49"/>
      <c r="N24" s="49"/>
    </row>
    <row r="25" s="6" customFormat="true" ht="15" hidden="false" customHeight="true" outlineLevel="0" collapsed="false">
      <c r="B25" s="28" t="n">
        <v>1</v>
      </c>
      <c r="C25" s="13" t="s">
        <v>67</v>
      </c>
      <c r="D25" s="13"/>
      <c r="E25" s="36" t="s">
        <v>68</v>
      </c>
      <c r="F25" s="36"/>
    </row>
    <row r="26" s="6" customFormat="true" ht="15.75" hidden="false" customHeight="true" outlineLevel="0" collapsed="false">
      <c r="B26" s="28" t="n">
        <v>2</v>
      </c>
      <c r="C26" s="57" t="s">
        <v>69</v>
      </c>
      <c r="D26" s="58" t="s">
        <v>70</v>
      </c>
      <c r="E26" s="58"/>
      <c r="F26" s="58"/>
    </row>
    <row r="27" s="6" customFormat="true" ht="15.75" hidden="false" customHeight="true" outlineLevel="0" collapsed="false">
      <c r="B27" s="28" t="n">
        <v>3</v>
      </c>
      <c r="C27" s="13" t="s">
        <v>71</v>
      </c>
      <c r="D27" s="13"/>
      <c r="E27" s="13"/>
      <c r="F27" s="29" t="n">
        <v>45658</v>
      </c>
    </row>
    <row r="28" s="6" customFormat="true" ht="16.5" hidden="false" customHeight="false" outlineLevel="0" collapsed="false">
      <c r="B28" s="28" t="n">
        <v>4</v>
      </c>
      <c r="C28" s="16" t="s">
        <v>72</v>
      </c>
      <c r="D28" s="16"/>
      <c r="E28" s="16"/>
      <c r="F28" s="59" t="n">
        <v>1518</v>
      </c>
      <c r="H28" s="1"/>
      <c r="I28" s="1"/>
      <c r="J28" s="1"/>
      <c r="K28" s="1"/>
      <c r="L28" s="1"/>
      <c r="M28" s="1"/>
      <c r="N28" s="1"/>
    </row>
    <row r="29" s="6" customFormat="true" ht="16.5" hidden="false" customHeight="false" outlineLevel="0" collapsed="false">
      <c r="B29" s="60"/>
      <c r="C29" s="61"/>
      <c r="D29" s="61"/>
      <c r="E29" s="61"/>
      <c r="F29" s="62"/>
      <c r="H29" s="1"/>
      <c r="I29" s="1"/>
      <c r="J29" s="1"/>
      <c r="K29" s="1"/>
      <c r="L29" s="1"/>
      <c r="M29" s="1"/>
      <c r="N29" s="1"/>
    </row>
    <row r="30" customFormat="false" ht="19.7" hidden="false" customHeight="false" outlineLevel="0" collapsed="false">
      <c r="B30" s="63" t="s">
        <v>73</v>
      </c>
    </row>
    <row r="31" customFormat="false" ht="16.5" hidden="false" customHeight="false" outlineLevel="0" collapsed="false">
      <c r="B31" s="64" t="s">
        <v>74</v>
      </c>
      <c r="E31" s="65"/>
      <c r="F31" s="65"/>
    </row>
    <row r="32" customFormat="false" ht="16.5" hidden="false" customHeight="true" outlineLevel="0" collapsed="false">
      <c r="B32" s="27" t="n">
        <v>1</v>
      </c>
      <c r="C32" s="66" t="s">
        <v>75</v>
      </c>
      <c r="D32" s="66"/>
      <c r="E32" s="66"/>
      <c r="F32" s="15" t="s">
        <v>76</v>
      </c>
    </row>
    <row r="33" customFormat="false" ht="16.5" hidden="false" customHeight="true" outlineLevel="0" collapsed="false">
      <c r="B33" s="27" t="s">
        <v>31</v>
      </c>
      <c r="C33" s="67" t="s">
        <v>77</v>
      </c>
      <c r="D33" s="67"/>
      <c r="E33" s="67"/>
      <c r="F33" s="68"/>
    </row>
    <row r="34" customFormat="false" ht="16.5" hidden="false" customHeight="true" outlineLevel="0" collapsed="false">
      <c r="B34" s="27" t="s">
        <v>34</v>
      </c>
      <c r="C34" s="69" t="s">
        <v>78</v>
      </c>
      <c r="D34" s="69"/>
      <c r="E34" s="69"/>
      <c r="F34" s="70"/>
      <c r="H34" s="71"/>
      <c r="I34" s="71"/>
      <c r="J34" s="71"/>
      <c r="K34" s="71"/>
      <c r="L34" s="71"/>
      <c r="M34" s="71"/>
      <c r="N34" s="71"/>
    </row>
    <row r="35" customFormat="false" ht="16.5" hidden="false" customHeight="true" outlineLevel="0" collapsed="false">
      <c r="B35" s="27" t="s">
        <v>37</v>
      </c>
      <c r="C35" s="69" t="s">
        <v>79</v>
      </c>
      <c r="D35" s="69"/>
      <c r="E35" s="69"/>
      <c r="F35" s="70"/>
      <c r="H35" s="71"/>
      <c r="I35" s="71"/>
      <c r="J35" s="71"/>
      <c r="K35" s="71"/>
      <c r="L35" s="71"/>
      <c r="M35" s="71"/>
      <c r="N35" s="71"/>
    </row>
    <row r="36" s="71" customFormat="true" ht="16.5" hidden="false" customHeight="true" outlineLevel="0" collapsed="false">
      <c r="B36" s="27" t="s">
        <v>41</v>
      </c>
      <c r="C36" s="69" t="s">
        <v>80</v>
      </c>
      <c r="D36" s="69"/>
      <c r="E36" s="69"/>
      <c r="F36" s="70"/>
      <c r="H36" s="6"/>
      <c r="I36" s="6"/>
      <c r="J36" s="6"/>
      <c r="K36" s="6"/>
      <c r="L36" s="6"/>
      <c r="M36" s="6"/>
      <c r="N36" s="6"/>
    </row>
    <row r="37" s="71" customFormat="true" ht="16.5" hidden="false" customHeight="false" outlineLevel="0" collapsed="false">
      <c r="A37" s="1"/>
      <c r="H37" s="6"/>
      <c r="I37" s="6"/>
      <c r="J37" s="6"/>
      <c r="K37" s="6"/>
      <c r="L37" s="6"/>
      <c r="M37" s="6"/>
      <c r="N37" s="6"/>
    </row>
    <row r="38" s="71" customFormat="true" ht="16.5" hidden="false" customHeight="false" outlineLevel="0" collapsed="false">
      <c r="A38" s="1"/>
      <c r="B38" s="64" t="s">
        <v>81</v>
      </c>
      <c r="C38" s="1"/>
      <c r="D38" s="1"/>
      <c r="E38" s="72"/>
      <c r="F38" s="72"/>
    </row>
    <row r="39" s="71" customFormat="true" ht="7.5" hidden="false" customHeight="true" outlineLevel="0" collapsed="false"/>
    <row r="40" s="71" customFormat="true" ht="16.5" hidden="false" customHeight="false" outlineLevel="0" collapsed="false">
      <c r="A40" s="1"/>
      <c r="B40" s="64" t="s">
        <v>82</v>
      </c>
      <c r="C40" s="6"/>
      <c r="D40" s="6"/>
      <c r="E40" s="6"/>
      <c r="F40" s="6"/>
    </row>
    <row r="41" s="71" customFormat="true" ht="15" hidden="false" customHeight="true" outlineLevel="0" collapsed="false">
      <c r="A41" s="1"/>
      <c r="B41" s="27" t="s">
        <v>83</v>
      </c>
      <c r="C41" s="66" t="s">
        <v>84</v>
      </c>
      <c r="D41" s="66"/>
      <c r="E41" s="66"/>
      <c r="F41" s="15" t="s">
        <v>85</v>
      </c>
    </row>
    <row r="42" s="71" customFormat="true" ht="16.5" hidden="false" customHeight="false" outlineLevel="0" collapsed="false">
      <c r="A42" s="1"/>
      <c r="B42" s="73" t="s">
        <v>37</v>
      </c>
      <c r="C42" s="13" t="s">
        <v>86</v>
      </c>
      <c r="D42" s="13"/>
      <c r="E42" s="13"/>
      <c r="F42" s="74" t="n">
        <v>1</v>
      </c>
    </row>
    <row r="43" s="71" customFormat="true" ht="16.5" hidden="false" customHeight="false" outlineLevel="0" collapsed="false"/>
    <row r="44" s="71" customFormat="true" ht="16.5" hidden="false" customHeight="false" outlineLevel="0" collapsed="false">
      <c r="B44" s="64" t="s">
        <v>81</v>
      </c>
      <c r="C44" s="1"/>
      <c r="D44" s="1"/>
      <c r="E44" s="72"/>
      <c r="F44" s="72"/>
    </row>
    <row r="45" s="71" customFormat="true" ht="22.5" hidden="false" customHeight="true" outlineLevel="0" collapsed="false">
      <c r="A45" s="1"/>
      <c r="B45" s="64" t="s">
        <v>87</v>
      </c>
      <c r="C45" s="6"/>
      <c r="D45" s="6"/>
      <c r="E45" s="6"/>
      <c r="F45" s="6"/>
    </row>
    <row r="46" s="71" customFormat="true" ht="31.3" hidden="false" customHeight="true" outlineLevel="0" collapsed="false">
      <c r="A46" s="1"/>
      <c r="B46" s="27" t="s">
        <v>88</v>
      </c>
      <c r="C46" s="66" t="s">
        <v>89</v>
      </c>
      <c r="D46" s="66"/>
      <c r="E46" s="15" t="s">
        <v>90</v>
      </c>
      <c r="F46" s="15" t="s">
        <v>76</v>
      </c>
    </row>
    <row r="47" s="71" customFormat="true" ht="16.5" hidden="false" customHeight="false" outlineLevel="0" collapsed="false">
      <c r="B47" s="73" t="s">
        <v>31</v>
      </c>
      <c r="C47" s="13" t="s">
        <v>91</v>
      </c>
      <c r="D47" s="13"/>
      <c r="E47" s="36" t="s">
        <v>92</v>
      </c>
      <c r="F47" s="75" t="n">
        <v>8.6</v>
      </c>
    </row>
    <row r="48" s="71" customFormat="true" ht="16.5" hidden="false" customHeight="false" outlineLevel="0" collapsed="false">
      <c r="B48" s="73" t="s">
        <v>34</v>
      </c>
      <c r="C48" s="16" t="s">
        <v>93</v>
      </c>
      <c r="D48" s="16"/>
      <c r="E48" s="76" t="s">
        <v>92</v>
      </c>
      <c r="F48" s="75" t="n">
        <v>15</v>
      </c>
      <c r="H48" s="1"/>
      <c r="I48" s="1"/>
      <c r="J48" s="1"/>
      <c r="K48" s="1"/>
      <c r="L48" s="1"/>
      <c r="M48" s="1"/>
      <c r="N48" s="1"/>
    </row>
    <row r="49" customFormat="false" ht="16.5" hidden="false" customHeight="false" outlineLevel="0" collapsed="false">
      <c r="B49" s="77" t="s">
        <v>94</v>
      </c>
      <c r="C49" s="77"/>
      <c r="D49" s="77"/>
      <c r="E49" s="78"/>
      <c r="F49" s="79"/>
    </row>
    <row r="50" customFormat="false" ht="17.9" hidden="false" customHeight="true" outlineLevel="0" collapsed="false">
      <c r="B50" s="73" t="s">
        <v>37</v>
      </c>
      <c r="C50" s="69" t="s">
        <v>95</v>
      </c>
      <c r="D50" s="69"/>
      <c r="E50" s="80"/>
      <c r="F50" s="70" t="n">
        <v>142.05</v>
      </c>
      <c r="H50" s="71"/>
      <c r="I50" s="71"/>
      <c r="J50" s="71"/>
      <c r="K50" s="71"/>
      <c r="L50" s="71"/>
      <c r="M50" s="71"/>
      <c r="N50" s="71"/>
    </row>
    <row r="51" customFormat="false" ht="17.9" hidden="false" customHeight="true" outlineLevel="0" collapsed="false">
      <c r="B51" s="73" t="s">
        <v>44</v>
      </c>
      <c r="C51" s="69" t="s">
        <v>96</v>
      </c>
      <c r="D51" s="69"/>
      <c r="E51" s="80"/>
      <c r="F51" s="70" t="n">
        <v>78.59</v>
      </c>
      <c r="H51" s="6"/>
      <c r="I51" s="6"/>
      <c r="J51" s="6"/>
      <c r="K51" s="6"/>
      <c r="L51" s="6"/>
      <c r="M51" s="6"/>
      <c r="N51" s="6"/>
    </row>
    <row r="52" s="71" customFormat="true" ht="16.5" hidden="false" customHeight="true" outlineLevel="0" collapsed="false">
      <c r="B52" s="73" t="s">
        <v>97</v>
      </c>
      <c r="C52" s="69" t="s">
        <v>98</v>
      </c>
      <c r="D52" s="69"/>
      <c r="E52" s="80"/>
      <c r="F52" s="70"/>
      <c r="H52" s="6"/>
      <c r="I52" s="6"/>
      <c r="J52" s="6"/>
      <c r="K52" s="6"/>
      <c r="L52" s="6"/>
      <c r="M52" s="6"/>
      <c r="N52" s="6"/>
    </row>
    <row r="53" s="6" customFormat="true" ht="16.5" hidden="false" customHeight="false" outlineLevel="0" collapsed="false">
      <c r="B53" s="71"/>
      <c r="C53" s="71"/>
      <c r="D53" s="71"/>
      <c r="E53" s="71"/>
      <c r="F53" s="71"/>
    </row>
    <row r="54" s="6" customFormat="true" ht="15" hidden="false" customHeight="true" outlineLevel="0" collapsed="false">
      <c r="B54" s="64" t="s">
        <v>99</v>
      </c>
      <c r="C54" s="81"/>
      <c r="D54" s="40"/>
      <c r="E54" s="1"/>
      <c r="F54" s="1"/>
    </row>
    <row r="55" s="6" customFormat="true" ht="16.5" hidden="false" customHeight="false" outlineLevel="0" collapsed="false">
      <c r="B55" s="64" t="s">
        <v>100</v>
      </c>
      <c r="C55" s="81"/>
      <c r="D55" s="40"/>
      <c r="E55" s="82"/>
      <c r="F55" s="82"/>
      <c r="H55" s="1"/>
      <c r="I55" s="1"/>
      <c r="J55" s="1"/>
      <c r="K55" s="1"/>
      <c r="L55" s="1"/>
      <c r="M55" s="1"/>
      <c r="N55" s="1"/>
    </row>
    <row r="56" customFormat="false" ht="16.5" hidden="false" customHeight="true" outlineLevel="0" collapsed="false">
      <c r="A56" s="6"/>
      <c r="B56" s="27" t="s">
        <v>101</v>
      </c>
      <c r="C56" s="66" t="s">
        <v>102</v>
      </c>
      <c r="D56" s="66"/>
      <c r="E56" s="66"/>
      <c r="F56" s="15" t="s">
        <v>103</v>
      </c>
    </row>
    <row r="57" s="71" customFormat="true" ht="16.5" hidden="false" customHeight="true" outlineLevel="0" collapsed="false">
      <c r="B57" s="15" t="s">
        <v>31</v>
      </c>
      <c r="C57" s="83" t="s">
        <v>104</v>
      </c>
      <c r="D57" s="83"/>
      <c r="E57" s="83"/>
      <c r="F57" s="80"/>
      <c r="H57" s="1"/>
      <c r="I57" s="1"/>
      <c r="J57" s="1"/>
      <c r="K57" s="1"/>
      <c r="L57" s="1"/>
      <c r="M57" s="1"/>
      <c r="N57" s="1"/>
    </row>
    <row r="58" customFormat="false" ht="16.5" hidden="false" customHeight="false" outlineLevel="0" collapsed="false">
      <c r="B58" s="71"/>
      <c r="C58" s="71"/>
      <c r="D58" s="71"/>
      <c r="E58" s="71"/>
      <c r="F58" s="71"/>
    </row>
    <row r="59" customFormat="false" ht="15.75" hidden="false" customHeight="true" outlineLevel="0" collapsed="false">
      <c r="B59" s="64" t="s">
        <v>105</v>
      </c>
      <c r="C59" s="81"/>
      <c r="D59" s="81"/>
      <c r="E59" s="82"/>
      <c r="F59" s="82"/>
    </row>
    <row r="60" customFormat="false" ht="16.5" hidden="false" customHeight="true" outlineLevel="0" collapsed="false">
      <c r="B60" s="84" t="n">
        <v>5</v>
      </c>
      <c r="C60" s="85" t="s">
        <v>106</v>
      </c>
      <c r="D60" s="85"/>
      <c r="E60" s="85"/>
      <c r="F60" s="86" t="s">
        <v>107</v>
      </c>
      <c r="H60" s="71"/>
      <c r="I60" s="71"/>
      <c r="J60" s="71"/>
      <c r="K60" s="71"/>
      <c r="L60" s="71"/>
      <c r="M60" s="71"/>
      <c r="N60" s="71"/>
    </row>
    <row r="61" customFormat="false" ht="16.5" hidden="false" customHeight="true" outlineLevel="0" collapsed="false">
      <c r="B61" s="87" t="s">
        <v>31</v>
      </c>
      <c r="C61" s="88" t="s">
        <v>108</v>
      </c>
      <c r="D61" s="88"/>
      <c r="E61" s="88"/>
      <c r="F61" s="89" t="n">
        <v>53.33</v>
      </c>
      <c r="H61" s="71"/>
      <c r="I61" s="71"/>
      <c r="J61" s="71"/>
      <c r="K61" s="71"/>
      <c r="L61" s="71"/>
      <c r="M61" s="71"/>
      <c r="N61" s="71"/>
    </row>
    <row r="62" s="71" customFormat="true" ht="16.5" hidden="false" customHeight="true" outlineLevel="0" collapsed="false">
      <c r="A62" s="1"/>
      <c r="B62" s="87" t="s">
        <v>34</v>
      </c>
      <c r="C62" s="90" t="s">
        <v>109</v>
      </c>
      <c r="D62" s="90"/>
      <c r="E62" s="90"/>
      <c r="F62" s="89" t="n">
        <v>19.36</v>
      </c>
    </row>
    <row r="63" s="71" customFormat="true" ht="16.5" hidden="false" customHeight="true" outlineLevel="0" collapsed="false">
      <c r="A63" s="1"/>
      <c r="B63" s="87" t="s">
        <v>37</v>
      </c>
      <c r="C63" s="88" t="s">
        <v>110</v>
      </c>
      <c r="D63" s="88"/>
      <c r="E63" s="88"/>
      <c r="F63" s="89" t="n">
        <v>17.63</v>
      </c>
      <c r="H63" s="91"/>
      <c r="I63" s="91"/>
      <c r="J63" s="91"/>
      <c r="K63" s="91"/>
      <c r="L63" s="91"/>
      <c r="M63" s="91"/>
      <c r="N63" s="91"/>
    </row>
    <row r="64" s="71" customFormat="true" ht="16.5" hidden="false" customHeight="true" outlineLevel="0" collapsed="false">
      <c r="B64" s="87" t="s">
        <v>41</v>
      </c>
      <c r="C64" s="69" t="s">
        <v>111</v>
      </c>
      <c r="D64" s="69"/>
      <c r="E64" s="69"/>
      <c r="F64" s="70"/>
      <c r="H64" s="1"/>
      <c r="I64" s="1"/>
      <c r="J64" s="1"/>
      <c r="K64" s="1"/>
      <c r="L64" s="1"/>
      <c r="M64" s="1"/>
      <c r="N64" s="1"/>
    </row>
    <row r="65" s="91" customFormat="true" ht="16.5" hidden="false" customHeight="true" outlineLevel="0" collapsed="false">
      <c r="A65" s="1"/>
      <c r="B65" s="71"/>
      <c r="C65" s="71"/>
      <c r="D65" s="71"/>
      <c r="E65" s="71"/>
      <c r="F65" s="71"/>
      <c r="H65" s="1"/>
      <c r="I65" s="1"/>
      <c r="J65" s="1"/>
      <c r="K65" s="1"/>
      <c r="L65" s="1"/>
      <c r="M65" s="1"/>
      <c r="N65" s="1"/>
    </row>
    <row r="66" customFormat="false" ht="16.5" hidden="false" customHeight="true" outlineLevel="0" collapsed="false">
      <c r="B66" s="92" t="s">
        <v>112</v>
      </c>
      <c r="C66" s="92"/>
      <c r="D66" s="92"/>
      <c r="E66" s="92"/>
      <c r="F66" s="92"/>
    </row>
    <row r="67" customFormat="false" ht="16.5" hidden="false" customHeight="false" outlineLevel="0" collapsed="false">
      <c r="A67" s="71"/>
      <c r="B67" s="27" t="n">
        <v>6</v>
      </c>
      <c r="C67" s="93" t="s">
        <v>113</v>
      </c>
      <c r="D67" s="93"/>
      <c r="E67" s="93"/>
      <c r="F67" s="15" t="s">
        <v>103</v>
      </c>
    </row>
    <row r="68" customFormat="false" ht="16.5" hidden="false" customHeight="true" outlineLevel="0" collapsed="false">
      <c r="A68" s="71"/>
      <c r="B68" s="27" t="s">
        <v>31</v>
      </c>
      <c r="C68" s="94" t="s">
        <v>114</v>
      </c>
      <c r="D68" s="94"/>
      <c r="E68" s="94"/>
      <c r="F68" s="95" t="n">
        <v>4.73</v>
      </c>
    </row>
    <row r="69" customFormat="false" ht="16.5" hidden="false" customHeight="true" outlineLevel="0" collapsed="false">
      <c r="A69" s="91"/>
      <c r="B69" s="15" t="s">
        <v>34</v>
      </c>
      <c r="C69" s="34" t="s">
        <v>115</v>
      </c>
      <c r="D69" s="34"/>
      <c r="E69" s="34"/>
      <c r="F69" s="95" t="n">
        <v>5.57</v>
      </c>
    </row>
    <row r="70" customFormat="false" ht="16.5" hidden="false" customHeight="true" outlineLevel="0" collapsed="false">
      <c r="B70" s="96" t="s">
        <v>116</v>
      </c>
      <c r="C70" s="94" t="s">
        <v>117</v>
      </c>
      <c r="D70" s="94"/>
      <c r="E70" s="94" t="n">
        <f aca="false">PERC_PIS</f>
        <v>0.65</v>
      </c>
      <c r="F70" s="95" t="n">
        <v>0.65</v>
      </c>
      <c r="H70" s="71"/>
      <c r="I70" s="71"/>
      <c r="J70" s="71"/>
      <c r="K70" s="71"/>
      <c r="L70" s="71"/>
      <c r="M70" s="71"/>
      <c r="N70" s="71"/>
    </row>
    <row r="71" customFormat="false" ht="16.5" hidden="false" customHeight="true" outlineLevel="0" collapsed="false">
      <c r="B71" s="96" t="s">
        <v>118</v>
      </c>
      <c r="C71" s="34" t="s">
        <v>119</v>
      </c>
      <c r="D71" s="34"/>
      <c r="E71" s="34" t="n">
        <f aca="false">PERC_COFINS</f>
        <v>3</v>
      </c>
      <c r="F71" s="95" t="n">
        <v>3</v>
      </c>
    </row>
    <row r="72" s="71" customFormat="true" ht="16.5" hidden="false" customHeight="true" outlineLevel="0" collapsed="false">
      <c r="B72" s="96" t="s">
        <v>120</v>
      </c>
      <c r="C72" s="94" t="s">
        <v>121</v>
      </c>
      <c r="D72" s="94"/>
      <c r="E72" s="94" t="n">
        <f aca="false">PERC_ISS</f>
        <v>5</v>
      </c>
      <c r="F72" s="95" t="n">
        <v>5</v>
      </c>
      <c r="H72" s="1"/>
      <c r="I72" s="1"/>
      <c r="J72" s="1"/>
      <c r="K72" s="1"/>
      <c r="L72" s="1"/>
      <c r="M72" s="1"/>
      <c r="N72" s="1"/>
    </row>
    <row r="73" customFormat="false" ht="16.5" hidden="false" customHeight="false" outlineLevel="0" collapsed="false">
      <c r="B73" s="71"/>
      <c r="C73" s="71"/>
      <c r="D73" s="71"/>
      <c r="E73" s="71"/>
      <c r="F73" s="71"/>
    </row>
    <row r="74" customFormat="false" ht="33.75" hidden="false" customHeight="true" outlineLevel="0" collapsed="false">
      <c r="B74" s="97" t="s">
        <v>122</v>
      </c>
      <c r="C74" s="98"/>
      <c r="D74" s="98"/>
      <c r="E74" s="98"/>
      <c r="F74" s="99"/>
    </row>
    <row r="75" customFormat="false" ht="35.25" hidden="false" customHeight="true" outlineLevel="0" collapsed="false">
      <c r="B75" s="100" t="s">
        <v>123</v>
      </c>
      <c r="C75" s="100"/>
      <c r="D75" s="100"/>
      <c r="E75" s="100"/>
      <c r="F75" s="100"/>
    </row>
  </sheetData>
  <sheetProtection sheet="true" objects="true" scenarios="true"/>
  <mergeCells count="70">
    <mergeCell ref="B1:F1"/>
    <mergeCell ref="H1:N3"/>
    <mergeCell ref="B2:D2"/>
    <mergeCell ref="B4:F4"/>
    <mergeCell ref="H4:L4"/>
    <mergeCell ref="B5:F5"/>
    <mergeCell ref="H5:N5"/>
    <mergeCell ref="B6:C6"/>
    <mergeCell ref="D6:F6"/>
    <mergeCell ref="H6:H8"/>
    <mergeCell ref="I6:I7"/>
    <mergeCell ref="J6:J7"/>
    <mergeCell ref="K6:K7"/>
    <mergeCell ref="L6:L7"/>
    <mergeCell ref="M6:M8"/>
    <mergeCell ref="N6:N8"/>
    <mergeCell ref="B7:C7"/>
    <mergeCell ref="D7:E7"/>
    <mergeCell ref="B8:C8"/>
    <mergeCell ref="D8:E8"/>
    <mergeCell ref="B10:F10"/>
    <mergeCell ref="C11:E11"/>
    <mergeCell ref="D12:F12"/>
    <mergeCell ref="C13:E13"/>
    <mergeCell ref="C14:E14"/>
    <mergeCell ref="M14:N14"/>
    <mergeCell ref="C15:E15"/>
    <mergeCell ref="H15:M15"/>
    <mergeCell ref="B17:F17"/>
    <mergeCell ref="H17:N17"/>
    <mergeCell ref="H18:N18"/>
    <mergeCell ref="H19:N20"/>
    <mergeCell ref="H21:N22"/>
    <mergeCell ref="B22:E22"/>
    <mergeCell ref="H23:N24"/>
    <mergeCell ref="B24:F24"/>
    <mergeCell ref="C25:D25"/>
    <mergeCell ref="E25:F25"/>
    <mergeCell ref="D26:F26"/>
    <mergeCell ref="C27:E27"/>
    <mergeCell ref="C28:E28"/>
    <mergeCell ref="C32:E32"/>
    <mergeCell ref="C33:E33"/>
    <mergeCell ref="C34:E34"/>
    <mergeCell ref="C35:E35"/>
    <mergeCell ref="C36:E36"/>
    <mergeCell ref="C41:E41"/>
    <mergeCell ref="C42:E42"/>
    <mergeCell ref="C46:D46"/>
    <mergeCell ref="C47:D47"/>
    <mergeCell ref="C48:D48"/>
    <mergeCell ref="B49:D49"/>
    <mergeCell ref="C50:D50"/>
    <mergeCell ref="C51:D51"/>
    <mergeCell ref="C52:D52"/>
    <mergeCell ref="C56:E56"/>
    <mergeCell ref="C57:E57"/>
    <mergeCell ref="C60:E60"/>
    <mergeCell ref="C61:E61"/>
    <mergeCell ref="C62:E62"/>
    <mergeCell ref="C63:E63"/>
    <mergeCell ref="C64:E64"/>
    <mergeCell ref="B66:F66"/>
    <mergeCell ref="C67:E67"/>
    <mergeCell ref="C68:E68"/>
    <mergeCell ref="C69:E69"/>
    <mergeCell ref="C70:E70"/>
    <mergeCell ref="C71:E71"/>
    <mergeCell ref="C72:E72"/>
    <mergeCell ref="B75:F75"/>
  </mergeCells>
  <dataValidations count="23">
    <dataValidation allowBlank="true" error="O percentual de ISS deve estar entre 2 e 5%, conforme o inciso I do artigo 8º e o caput do art. 8º-A da Lei Complementar nº 116/2003." errorStyle="stop" errorTitle="Erro na inserção de dados." operator="between" showDropDown="false" showErrorMessage="true" showInputMessage="true" sqref="F72" type="whole">
      <formula1>2</formula1>
      <formula2>5</formula2>
    </dataValidation>
    <dataValidation allowBlank="true" error="Tem certeza que o percentual do Cofins é diferente de 3%, previsto no art. 31 da Lei nº 10.833/2003?" errorStyle="warning" errorTitle="Atentar para o percentual." operator="equal" showDropDown="false" showErrorMessage="true" showInputMessage="true" sqref="F71" type="whole">
      <formula1>3</formula1>
      <formula2>0</formula2>
    </dataValidation>
    <dataValidation allowBlank="true" error="Tem certeza que o percentual do PIS é diferente de 0,65%, previsto no art. 31 da Lei nº 10.833/2003?" errorStyle="warning" errorTitle="Atentar para o percentual." operator="equal" showDropDown="false" showErrorMessage="true" showInputMessage="true" sqref="F70" type="decimal">
      <formula1>0.65</formula1>
      <formula2>0</formula2>
    </dataValidation>
    <dataValidation allowBlank="true" error="O percentual recomendado de lucro, para serviços de limpeza e conservação, é de 5,57%, conforme estudos realizados pela Auditoria Interna do MPU." errorStyle="warning" errorTitle="Erro na inserção de dados." operator="between" showDropDown="false" showErrorMessage="true" showInputMessage="true" sqref="F69" type="decimal">
      <formula1>0</formula1>
      <formula2>5.57</formula2>
    </dataValidation>
    <dataValidation allowBlank="true" error="O percentual recomendado de custos indiretos, para serviços de limpeza e conservação, é de 4,73%, conforme estudos realizados pela Auditoria Interna do MPU." errorStyle="warning" errorTitle="Erro na inserção de dados." operator="between" showDropDown="false" showErrorMessage="true" showInputMessage="true" sqref="F68" type="decimal">
      <formula1>0</formula1>
      <formula2>4.73</formula2>
    </dataValidation>
    <dataValidation allowBlank="true" error="De acordo com o art. 192 da CLT, estão previstos somente os percentuais de 40% (máximo), 20% (médio) ou 10% (mínimo), conforme for a exposição ao risco." errorStyle="stop" errorTitle="Erro na inserção de dados." operator="equal" showDropDown="false" showErrorMessage="true" showInputMessage="true" sqref="F33" type="list">
      <formula1>"0,10,20,40"</formula1>
      <formula2>0</formula2>
    </dataValidation>
    <dataValidation allowBlank="true" error="O percentual máximo de desconto para empresas que aderem ao Programa de Assistência ao Trabalhador (PAT) é de 20%, conforme o disposto no art. 645, § 2º, do Decreto nº 9.580/18." errorStyle="stop" errorTitle="Erro na inserção de dados." operator="lessThanOrEqual" showDropDown="false" showErrorMessage="true" showInputMessage="true" sqref="F49" type="decimal">
      <formula1>20</formula1>
      <formula2>0</formula2>
    </dataValidation>
    <dataValidation allowBlank="true" error="Tem certeza que o valor do salário normativo é menor que o salário mínimo vigente no país?" errorStyle="warning" errorTitle="Atentar para o valor do salário." operator="greaterThanOrEqual" showDropDown="false" showErrorMessage="true" showInputMessage="true" sqref="F19" type="decimal">
      <formula1>F28</formula1>
      <formula2>0</formula2>
    </dataValidation>
    <dataValidation allowBlank="true" error="Tem certeza que o valor do salário normativo do servente de área hospitalar é diferente ao salário normativo do servente?" errorStyle="warning" errorTitle="Atentar para o valor do salário." operator="equal" showDropDown="false" showErrorMessage="true" showInputMessage="true" sqref="F21" type="decimal">
      <formula1>F20</formula1>
      <formula2>0</formula2>
    </dataValidation>
    <dataValidation allowBlank="false" errorStyle="stop" operator="between" showDropDown="false" showErrorMessage="true" showInputMessage="true" sqref="D19:D21" type="list">
      <formula1>"SIM,NÃO"</formula1>
      <formula2>0</formula2>
    </dataValidation>
    <dataValidation allowBlank="false" error="Tem certeza que o quantitativo de encarregados obedece a relação de 1 para cada 30 serventes?" errorStyle="warning" errorTitle="Atentar para a quantidade." operator="lessThanOrEqual" showDropDown="false" showErrorMessage="true" showInputMessage="true" sqref="E19" type="whole">
      <formula1>QTDE_ESTIMADA_SERVENTES/RELACAO_SERVENTES_ENCARREGADOS</formula1>
      <formula2>0</formula2>
    </dataValidation>
    <dataValidation allowBlank="true" errorStyle="stop" operator="between" showDropDown="false" showErrorMessage="true" showInputMessage="true" sqref="N4" type="list">
      <formula1>"7/2015,213/2017"</formula1>
      <formula2>0</formula2>
    </dataValidation>
    <dataValidation allowBlank="true" error="Atente para a inclusão da área médico hospitalar a ser limpa." errorStyle="warning" errorTitle="Incluir a área médica." operator="equal" showDropDown="false" showErrorMessage="true" showInputMessage="true" sqref="E21" type="decimal">
      <formula1>0</formula1>
      <formula2>0</formula2>
    </dataValidation>
    <dataValidation allowBlank="true" error="Tem certeza que a produtividade é diferente do previsto nas Portarias SLTI/MPOG nº 7/2015 e SEGES nº 213/2017?" errorStyle="warning" errorTitle="Atentar para a produtividade." operator="between" showDropDown="false" showErrorMessage="true" showInputMessage="true" sqref="M9" type="list">
      <formula1>"600,800"</formula1>
      <formula2>0</formula2>
    </dataValidation>
    <dataValidation allowBlank="true" error="Tem certeza que a produtividade é diferente do previsto nas Portarias SLTI/MPOG nº 7/2015 e SEGES nº 213/2017?" errorStyle="warning" errorTitle="Atentar para a produtividade." operator="between" showDropDown="false" showErrorMessage="true" showInputMessage="true" sqref="M10" type="list">
      <formula1>"1200,1800"</formula1>
      <formula2>0</formula2>
    </dataValidation>
    <dataValidation allowBlank="true" error="Tem certeza que a produtividade é diferente do previsto nas Portarias SLTI/MPOG nº 7/2015 e SEGES nº 213/2017?" errorStyle="warning" errorTitle="Atentar para a produtividade." operator="between" showDropDown="false" showErrorMessage="true" showInputMessage="true" sqref="M11" type="list">
      <formula1>"220,300"</formula1>
      <formula2>0</formula2>
    </dataValidation>
    <dataValidation allowBlank="true" error="Tem certeza que a produtividade é diferente do previsto nas Portarias SLTI/MPOG nº 7/2015 e SEGES nº 213/2017?" errorStyle="warning" errorTitle="Atentar para a produtividade." operator="between" showDropDown="false" showErrorMessage="true" showInputMessage="true" sqref="M12" type="list">
      <formula1>"110,130"</formula1>
      <formula2>0</formula2>
    </dataValidation>
    <dataValidation allowBlank="true" errorStyle="stop" operator="between" showDropDown="false" showErrorMessage="true" showInputMessage="true" sqref="F13" type="list">
      <formula1>"AC,AL,AP,AM,BA,CE,DF,ES,GO,MA,MG,MS,MT,PA,PB,PR,PE,PI,RJ,RN,RO,RR,RS,SC,SP,SE,TO"</formula1>
      <formula2>0</formula2>
    </dataValidation>
    <dataValidation allowBlank="true" error="Tem certeza que o adicional de insalubridade tem como base de cálculo o salário normativo previsto na CCT?" errorStyle="warning" errorTitle="Atentar para a base de cálculo." operator="equal" showDropDown="false" showErrorMessage="true" showInputMessage="true" sqref="F22" type="list">
      <formula1>"CCT,Salário Mínimo"</formula1>
      <formula2>0</formula2>
    </dataValidation>
    <dataValidation allowBlank="false" error="Se a resposta for &quot;Sim&quot;, deverá ser incluído o percentual do PAT na coluna ao lado. Caso seja &quot;Não&quot;, não há necessidade." errorStyle="warning" errorTitle="Atenção!" operator="between" showDropDown="false" showErrorMessage="true" showInputMessage="true" sqref="E49" type="list">
      <formula1>"Sim,Não"</formula1>
      <formula2>0</formula2>
    </dataValidation>
    <dataValidation allowBlank="true" error="O FAP é um multiplicador, atualmente calculado por estabelecimento, que varia de 0,5000 a 2,0000, conforme previsto no art. 10 da Lei nº 10.666/03." errorStyle="stop" errorTitle="Erro na inserção de dados" operator="between" showDropDown="false" showErrorMessage="true" showInputMessage="true" sqref="F42" type="decimal">
      <formula1>0.5</formula1>
      <formula2>2</formula2>
    </dataValidation>
    <dataValidation allowBlank="true" error="Tem certeza que o quantitativo de serventes está de acordo com a produtividade das áreas a serem limpas?" errorStyle="warning" errorTitle="Atentar para o quantitativo." operator="lessThanOrEqual" showDropDown="false" showErrorMessage="true" showInputMessage="true" sqref="E20" type="whole">
      <formula1>'QTDE-ESTIMADA-SERVENTES'!D10</formula1>
      <formula2>0</formula2>
    </dataValidation>
    <dataValidation allowBlank="true" error="Tem certeza que o valor do salário normativo é menor que o salário mínimo vigente no país?" errorStyle="warning" errorTitle="Atentar para o valor do salário." operator="greaterThanOrEqual" showDropDown="false" showErrorMessage="true" showInputMessage="false" sqref="F20" type="decimal">
      <formula1>F27</formula1>
      <formula2>0</formula2>
    </dataValidation>
  </dataValidations>
  <printOptions headings="false" gridLines="false" gridLinesSet="true" horizontalCentered="false" verticalCentered="false"/>
  <pageMargins left="0.170138888888889" right="0.170138888888889" top="0.459722222222222" bottom="0.2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G4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2" ySplit="5" topLeftCell="C6" activePane="bottomRight" state="frozen"/>
      <selection pane="topLeft" activeCell="A1" activeCellId="0" sqref="A1"/>
      <selection pane="topRight" activeCell="C1" activeCellId="0" sqref="C1"/>
      <selection pane="bottomLeft" activeCell="A6" activeCellId="0" sqref="A6"/>
      <selection pane="bottomRight" activeCell="AA16" activeCellId="0" sqref="AA16"/>
    </sheetView>
  </sheetViews>
  <sheetFormatPr defaultColWidth="9.1484375" defaultRowHeight="16.5" zeroHeight="false" outlineLevelRow="0" outlineLevelCol="0"/>
  <cols>
    <col collapsed="false" customWidth="true" hidden="false" outlineLevel="0" max="1" min="1" style="226" width="4.42"/>
    <col collapsed="false" customWidth="true" hidden="false" outlineLevel="0" max="2" min="2" style="226" width="10.42"/>
    <col collapsed="false" customWidth="true" hidden="false" outlineLevel="0" max="3" min="3" style="226" width="7.42"/>
    <col collapsed="false" customWidth="true" hidden="false" outlineLevel="0" max="10" min="4" style="226" width="7"/>
    <col collapsed="false" customWidth="true" hidden="false" outlineLevel="0" max="11" min="11" style="226" width="7.42"/>
    <col collapsed="false" customWidth="true" hidden="false" outlineLevel="0" max="18" min="12" style="226" width="7"/>
    <col collapsed="false" customWidth="false" hidden="false" outlineLevel="0" max="16384" min="19" style="226" width="9.14"/>
  </cols>
  <sheetData>
    <row r="1" customFormat="false" ht="16.5" hidden="false" customHeight="false" outlineLevel="0" collapsed="false">
      <c r="A1" s="227" t="s">
        <v>318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8"/>
      <c r="M1" s="228"/>
      <c r="N1" s="228"/>
      <c r="Q1" s="228"/>
      <c r="R1" s="229" t="s">
        <v>281</v>
      </c>
    </row>
    <row r="2" customFormat="false" ht="16.5" hidden="false" customHeight="true" outlineLevel="0" collapsed="false">
      <c r="A2" s="42" t="s">
        <v>282</v>
      </c>
      <c r="B2" s="15" t="s">
        <v>283</v>
      </c>
      <c r="C2" s="240" t="s">
        <v>319</v>
      </c>
      <c r="D2" s="240"/>
      <c r="E2" s="240"/>
      <c r="F2" s="240"/>
      <c r="G2" s="241" t="s">
        <v>320</v>
      </c>
      <c r="H2" s="241"/>
      <c r="I2" s="241"/>
      <c r="J2" s="241"/>
      <c r="K2" s="241" t="s">
        <v>321</v>
      </c>
      <c r="L2" s="241"/>
      <c r="M2" s="241"/>
      <c r="N2" s="241"/>
      <c r="O2" s="242" t="s">
        <v>322</v>
      </c>
      <c r="P2" s="242"/>
      <c r="Q2" s="242"/>
      <c r="R2" s="242"/>
    </row>
    <row r="3" customFormat="false" ht="6.75" hidden="false" customHeight="true" outlineLevel="0" collapsed="false">
      <c r="A3" s="42"/>
      <c r="B3" s="15"/>
      <c r="C3" s="240"/>
      <c r="D3" s="240"/>
      <c r="E3" s="240"/>
      <c r="F3" s="240"/>
      <c r="G3" s="241"/>
      <c r="H3" s="241"/>
      <c r="I3" s="241"/>
      <c r="J3" s="241"/>
      <c r="K3" s="241"/>
      <c r="L3" s="241"/>
      <c r="M3" s="241"/>
      <c r="N3" s="241"/>
      <c r="O3" s="242"/>
      <c r="P3" s="242"/>
      <c r="Q3" s="242"/>
      <c r="R3" s="242"/>
    </row>
    <row r="4" customFormat="false" ht="16.5" hidden="false" customHeight="true" outlineLevel="0" collapsed="false">
      <c r="A4" s="42"/>
      <c r="B4" s="15"/>
      <c r="C4" s="243" t="n">
        <v>800</v>
      </c>
      <c r="D4" s="244" t="s">
        <v>323</v>
      </c>
      <c r="E4" s="243" t="n">
        <v>1200</v>
      </c>
      <c r="F4" s="245" t="s">
        <v>323</v>
      </c>
      <c r="G4" s="243" t="n">
        <v>1800</v>
      </c>
      <c r="H4" s="244" t="s">
        <v>323</v>
      </c>
      <c r="I4" s="243" t="n">
        <v>2700</v>
      </c>
      <c r="J4" s="245" t="s">
        <v>323</v>
      </c>
      <c r="K4" s="243" t="n">
        <v>300</v>
      </c>
      <c r="L4" s="244" t="s">
        <v>323</v>
      </c>
      <c r="M4" s="243" t="n">
        <v>380</v>
      </c>
      <c r="N4" s="245" t="s">
        <v>323</v>
      </c>
      <c r="O4" s="243" t="n">
        <v>130</v>
      </c>
      <c r="P4" s="244" t="s">
        <v>323</v>
      </c>
      <c r="Q4" s="243" t="n">
        <v>160</v>
      </c>
      <c r="R4" s="245" t="s">
        <v>323</v>
      </c>
    </row>
    <row r="5" customFormat="false" ht="16.5" hidden="false" customHeight="false" outlineLevel="0" collapsed="false">
      <c r="A5" s="42"/>
      <c r="B5" s="15"/>
      <c r="C5" s="233" t="s">
        <v>324</v>
      </c>
      <c r="D5" s="233" t="s">
        <v>325</v>
      </c>
      <c r="E5" s="233" t="s">
        <v>324</v>
      </c>
      <c r="F5" s="233" t="s">
        <v>325</v>
      </c>
      <c r="G5" s="233" t="s">
        <v>324</v>
      </c>
      <c r="H5" s="233" t="s">
        <v>325</v>
      </c>
      <c r="I5" s="233" t="s">
        <v>324</v>
      </c>
      <c r="J5" s="233" t="s">
        <v>325</v>
      </c>
      <c r="K5" s="233" t="s">
        <v>324</v>
      </c>
      <c r="L5" s="233" t="s">
        <v>325</v>
      </c>
      <c r="M5" s="233" t="s">
        <v>324</v>
      </c>
      <c r="N5" s="233" t="s">
        <v>325</v>
      </c>
      <c r="O5" s="233" t="s">
        <v>324</v>
      </c>
      <c r="P5" s="233" t="s">
        <v>325</v>
      </c>
      <c r="Q5" s="233" t="s">
        <v>324</v>
      </c>
      <c r="R5" s="233" t="s">
        <v>325</v>
      </c>
    </row>
    <row r="6" customFormat="false" ht="16.5" hidden="false" customHeight="false" outlineLevel="0" collapsed="false">
      <c r="A6" s="27" t="s">
        <v>289</v>
      </c>
      <c r="B6" s="246" t="n">
        <v>43349</v>
      </c>
      <c r="C6" s="235" t="n">
        <v>3.57</v>
      </c>
      <c r="D6" s="235" t="n">
        <v>4.3</v>
      </c>
      <c r="E6" s="235" t="n">
        <v>2.38</v>
      </c>
      <c r="F6" s="235" t="n">
        <v>2.86</v>
      </c>
      <c r="G6" s="235" t="n">
        <v>1.59</v>
      </c>
      <c r="H6" s="235" t="n">
        <v>1.98</v>
      </c>
      <c r="I6" s="235" t="n">
        <v>1.06</v>
      </c>
      <c r="J6" s="235" t="n">
        <v>1.27</v>
      </c>
      <c r="K6" s="235" t="n">
        <v>0.81</v>
      </c>
      <c r="L6" s="235" t="n">
        <v>0.97</v>
      </c>
      <c r="M6" s="235" t="n">
        <v>0.64</v>
      </c>
      <c r="N6" s="235" t="n">
        <v>0.77</v>
      </c>
      <c r="O6" s="235" t="n">
        <v>0.2</v>
      </c>
      <c r="P6" s="235" t="n">
        <v>0.24</v>
      </c>
      <c r="Q6" s="235" t="n">
        <v>0.17</v>
      </c>
      <c r="R6" s="235" t="n">
        <v>0.2</v>
      </c>
    </row>
    <row r="7" customFormat="false" ht="16.5" hidden="false" customHeight="false" outlineLevel="0" collapsed="false">
      <c r="A7" s="27" t="s">
        <v>290</v>
      </c>
      <c r="B7" s="246" t="n">
        <v>43805</v>
      </c>
      <c r="C7" s="203" t="n">
        <v>3.88</v>
      </c>
      <c r="D7" s="203" t="n">
        <v>4.67</v>
      </c>
      <c r="E7" s="203" t="n">
        <v>2.59</v>
      </c>
      <c r="F7" s="203" t="n">
        <v>3.12</v>
      </c>
      <c r="G7" s="203" t="n">
        <v>1.73</v>
      </c>
      <c r="H7" s="203" t="n">
        <v>2.08</v>
      </c>
      <c r="I7" s="203" t="n">
        <v>1.15</v>
      </c>
      <c r="J7" s="203" t="n">
        <v>1.38</v>
      </c>
      <c r="K7" s="203" t="n">
        <v>0.88</v>
      </c>
      <c r="L7" s="203" t="n">
        <v>1.06</v>
      </c>
      <c r="M7" s="203" t="n">
        <v>0.69</v>
      </c>
      <c r="N7" s="203" t="n">
        <v>0.83</v>
      </c>
      <c r="O7" s="203" t="n">
        <v>0.21</v>
      </c>
      <c r="P7" s="203" t="n">
        <v>0.25</v>
      </c>
      <c r="Q7" s="203" t="n">
        <v>0.17</v>
      </c>
      <c r="R7" s="203" t="n">
        <v>0.21</v>
      </c>
    </row>
    <row r="8" customFormat="false" ht="16.5" hidden="false" customHeight="false" outlineLevel="0" collapsed="false">
      <c r="A8" s="27" t="s">
        <v>291</v>
      </c>
      <c r="B8" s="246" t="n">
        <v>43643</v>
      </c>
      <c r="C8" s="235" t="n">
        <v>3.87</v>
      </c>
      <c r="D8" s="235" t="n">
        <v>4.66</v>
      </c>
      <c r="E8" s="235" t="n">
        <v>2.58</v>
      </c>
      <c r="F8" s="235" t="n">
        <v>3.11</v>
      </c>
      <c r="G8" s="235" t="n">
        <v>1.72</v>
      </c>
      <c r="H8" s="235" t="n">
        <v>2.07</v>
      </c>
      <c r="I8" s="235" t="n">
        <v>1.15</v>
      </c>
      <c r="J8" s="235" t="n">
        <v>1.38</v>
      </c>
      <c r="K8" s="235" t="n">
        <v>0.88</v>
      </c>
      <c r="L8" s="235" t="n">
        <v>1.05</v>
      </c>
      <c r="M8" s="235" t="n">
        <v>0.69</v>
      </c>
      <c r="N8" s="235" t="n">
        <v>0.83</v>
      </c>
      <c r="O8" s="235" t="n">
        <v>0.26</v>
      </c>
      <c r="P8" s="235" t="n">
        <v>0.31</v>
      </c>
      <c r="Q8" s="235" t="n">
        <v>0.21</v>
      </c>
      <c r="R8" s="235" t="n">
        <v>0.26</v>
      </c>
    </row>
    <row r="9" customFormat="false" ht="16.5" hidden="false" customHeight="false" outlineLevel="0" collapsed="false">
      <c r="A9" s="27" t="s">
        <v>292</v>
      </c>
      <c r="B9" s="246" t="n">
        <v>43349</v>
      </c>
      <c r="C9" s="203" t="n">
        <v>3.73</v>
      </c>
      <c r="D9" s="203" t="n">
        <v>4.5</v>
      </c>
      <c r="E9" s="203" t="n">
        <v>2.49</v>
      </c>
      <c r="F9" s="203" t="n">
        <v>3</v>
      </c>
      <c r="G9" s="203" t="n">
        <v>1.66</v>
      </c>
      <c r="H9" s="203" t="n">
        <v>2</v>
      </c>
      <c r="I9" s="203" t="n">
        <v>1.11</v>
      </c>
      <c r="J9" s="203" t="n">
        <v>1.33</v>
      </c>
      <c r="K9" s="203" t="n">
        <v>0.84</v>
      </c>
      <c r="L9" s="203" t="n">
        <v>1.02</v>
      </c>
      <c r="M9" s="203" t="n">
        <v>0.67</v>
      </c>
      <c r="N9" s="203" t="n">
        <v>0.8</v>
      </c>
      <c r="O9" s="203" t="n">
        <v>0.2</v>
      </c>
      <c r="P9" s="203" t="n">
        <v>0.24</v>
      </c>
      <c r="Q9" s="203" t="n">
        <v>0.17</v>
      </c>
      <c r="R9" s="203" t="n">
        <v>0.2</v>
      </c>
      <c r="U9" s="236"/>
    </row>
    <row r="10" customFormat="false" ht="16.5" hidden="false" customHeight="false" outlineLevel="0" collapsed="false">
      <c r="A10" s="27" t="s">
        <v>293</v>
      </c>
      <c r="B10" s="246" t="n">
        <v>43013</v>
      </c>
      <c r="C10" s="235" t="n">
        <v>3.49</v>
      </c>
      <c r="D10" s="235" t="n">
        <v>4.22</v>
      </c>
      <c r="E10" s="235" t="n">
        <v>2.32</v>
      </c>
      <c r="F10" s="235" t="n">
        <v>2.81</v>
      </c>
      <c r="G10" s="235" t="n">
        <v>1.55</v>
      </c>
      <c r="H10" s="235" t="n">
        <v>1.88</v>
      </c>
      <c r="I10" s="235" t="n">
        <v>1.03</v>
      </c>
      <c r="J10" s="235" t="n">
        <v>1.25</v>
      </c>
      <c r="K10" s="235" t="n">
        <v>0.79</v>
      </c>
      <c r="L10" s="235" t="n">
        <v>0.95</v>
      </c>
      <c r="M10" s="235" t="n">
        <v>0.62</v>
      </c>
      <c r="N10" s="235" t="n">
        <v>0.75</v>
      </c>
      <c r="O10" s="235" t="n">
        <v>0.19</v>
      </c>
      <c r="P10" s="235" t="n">
        <v>0.23</v>
      </c>
      <c r="Q10" s="235" t="n">
        <v>0.15</v>
      </c>
      <c r="R10" s="235" t="n">
        <v>0.18</v>
      </c>
      <c r="U10" s="237"/>
    </row>
    <row r="11" customFormat="false" ht="16.5" hidden="false" customHeight="false" outlineLevel="0" collapsed="false">
      <c r="A11" s="27" t="s">
        <v>294</v>
      </c>
      <c r="B11" s="246" t="n">
        <v>43690</v>
      </c>
      <c r="C11" s="203" t="n">
        <v>4.28</v>
      </c>
      <c r="D11" s="203" t="n">
        <v>5.15</v>
      </c>
      <c r="E11" s="203" t="n">
        <v>2.85</v>
      </c>
      <c r="F11" s="203" t="n">
        <v>3.44</v>
      </c>
      <c r="G11" s="203" t="n">
        <v>1.9</v>
      </c>
      <c r="H11" s="203" t="n">
        <v>2.29</v>
      </c>
      <c r="I11" s="203" t="n">
        <v>1.27</v>
      </c>
      <c r="J11" s="203" t="n">
        <v>1.53</v>
      </c>
      <c r="K11" s="203" t="n">
        <v>0.97</v>
      </c>
      <c r="L11" s="203" t="n">
        <v>1.16</v>
      </c>
      <c r="M11" s="203" t="n">
        <v>0.76</v>
      </c>
      <c r="N11" s="203" t="n">
        <v>0.92</v>
      </c>
      <c r="O11" s="203" t="n">
        <v>0.23</v>
      </c>
      <c r="P11" s="203" t="n">
        <v>0.27</v>
      </c>
      <c r="Q11" s="203" t="n">
        <v>0.18</v>
      </c>
      <c r="R11" s="203" t="n">
        <v>0.22</v>
      </c>
      <c r="U11" s="236"/>
    </row>
    <row r="12" customFormat="false" ht="16.5" hidden="false" customHeight="false" outlineLevel="0" collapsed="false">
      <c r="A12" s="27" t="s">
        <v>295</v>
      </c>
      <c r="B12" s="246" t="n">
        <v>43593</v>
      </c>
      <c r="C12" s="235" t="n">
        <v>5.6</v>
      </c>
      <c r="D12" s="235" t="n">
        <v>6.73</v>
      </c>
      <c r="E12" s="235" t="n">
        <v>3.73</v>
      </c>
      <c r="F12" s="235" t="n">
        <v>4.48</v>
      </c>
      <c r="G12" s="235" t="n">
        <v>2.49</v>
      </c>
      <c r="H12" s="235" t="n">
        <v>2.99</v>
      </c>
      <c r="I12" s="235" t="n">
        <v>1.66</v>
      </c>
      <c r="J12" s="235" t="n">
        <v>1.99</v>
      </c>
      <c r="K12" s="235" t="n">
        <v>1.26</v>
      </c>
      <c r="L12" s="235" t="n">
        <v>1.52</v>
      </c>
      <c r="M12" s="235" t="n">
        <v>1</v>
      </c>
      <c r="N12" s="235" t="n">
        <v>1.2</v>
      </c>
      <c r="O12" s="235" t="n">
        <v>0.4</v>
      </c>
      <c r="P12" s="235" t="n">
        <v>0.48</v>
      </c>
      <c r="Q12" s="235" t="n">
        <v>0.33</v>
      </c>
      <c r="R12" s="235" t="n">
        <v>0.39</v>
      </c>
      <c r="U12" s="237"/>
    </row>
    <row r="13" customFormat="false" ht="16.5" hidden="false" customHeight="false" outlineLevel="0" collapsed="false">
      <c r="A13" s="27" t="s">
        <v>296</v>
      </c>
      <c r="B13" s="246" t="n">
        <v>43234</v>
      </c>
      <c r="C13" s="203" t="n">
        <v>4.55</v>
      </c>
      <c r="D13" s="203" t="n">
        <v>5.48</v>
      </c>
      <c r="E13" s="203" t="n">
        <v>3.03</v>
      </c>
      <c r="F13" s="203" t="n">
        <v>3.65</v>
      </c>
      <c r="G13" s="203" t="n">
        <v>2.02</v>
      </c>
      <c r="H13" s="203" t="n">
        <v>2.43</v>
      </c>
      <c r="I13" s="203" t="n">
        <v>1.35</v>
      </c>
      <c r="J13" s="203" t="n">
        <v>1.62</v>
      </c>
      <c r="K13" s="203" t="n">
        <v>1.03</v>
      </c>
      <c r="L13" s="203" t="n">
        <v>1.24</v>
      </c>
      <c r="M13" s="203" t="n">
        <v>0.81</v>
      </c>
      <c r="N13" s="203" t="n">
        <v>0.98</v>
      </c>
      <c r="O13" s="203" t="n">
        <v>0.24</v>
      </c>
      <c r="P13" s="203" t="n">
        <v>0.29</v>
      </c>
      <c r="Q13" s="203" t="n">
        <v>0.19</v>
      </c>
      <c r="R13" s="203" t="n">
        <v>0.23</v>
      </c>
      <c r="U13" s="236"/>
    </row>
    <row r="14" customFormat="false" ht="16.5" hidden="false" customHeight="false" outlineLevel="0" collapsed="false">
      <c r="A14" s="27" t="s">
        <v>297</v>
      </c>
      <c r="B14" s="246" t="n">
        <v>43690</v>
      </c>
      <c r="C14" s="235" t="n">
        <v>3.94</v>
      </c>
      <c r="D14" s="235" t="n">
        <v>4.75</v>
      </c>
      <c r="E14" s="235" t="n">
        <v>2.63</v>
      </c>
      <c r="F14" s="235" t="n">
        <v>3.17</v>
      </c>
      <c r="G14" s="235" t="n">
        <v>1.75</v>
      </c>
      <c r="H14" s="235" t="n">
        <v>2.11</v>
      </c>
      <c r="I14" s="235" t="n">
        <v>1.17</v>
      </c>
      <c r="J14" s="235" t="n">
        <v>1.41</v>
      </c>
      <c r="K14" s="235" t="n">
        <v>0.89</v>
      </c>
      <c r="L14" s="235" t="n">
        <v>1.07</v>
      </c>
      <c r="M14" s="235" t="n">
        <v>0.7</v>
      </c>
      <c r="N14" s="235" t="n">
        <v>0.85</v>
      </c>
      <c r="O14" s="235" t="n">
        <v>0.34</v>
      </c>
      <c r="P14" s="235" t="n">
        <v>0.41</v>
      </c>
      <c r="Q14" s="235" t="n">
        <v>0.28</v>
      </c>
      <c r="R14" s="235" t="n">
        <v>0.33</v>
      </c>
      <c r="U14" s="237"/>
    </row>
    <row r="15" customFormat="false" ht="16.5" hidden="false" customHeight="false" outlineLevel="0" collapsed="false">
      <c r="A15" s="27" t="s">
        <v>298</v>
      </c>
      <c r="B15" s="246" t="n">
        <v>43349</v>
      </c>
      <c r="C15" s="203" t="n">
        <v>3.94</v>
      </c>
      <c r="D15" s="203" t="n">
        <v>4.74</v>
      </c>
      <c r="E15" s="203" t="n">
        <v>2.63</v>
      </c>
      <c r="F15" s="203" t="n">
        <v>3.16</v>
      </c>
      <c r="G15" s="203" t="n">
        <v>1.75</v>
      </c>
      <c r="H15" s="203" t="n">
        <v>2.11</v>
      </c>
      <c r="I15" s="203" t="n">
        <v>1.17</v>
      </c>
      <c r="J15" s="203" t="n">
        <v>1.4</v>
      </c>
      <c r="K15" s="203" t="n">
        <v>0.89</v>
      </c>
      <c r="L15" s="203" t="n">
        <v>1.07</v>
      </c>
      <c r="M15" s="203" t="n">
        <v>0.7</v>
      </c>
      <c r="N15" s="203" t="n">
        <v>0.85</v>
      </c>
      <c r="O15" s="203" t="n">
        <v>0.21</v>
      </c>
      <c r="P15" s="203" t="n">
        <v>0.25</v>
      </c>
      <c r="Q15" s="203" t="n">
        <v>0.17</v>
      </c>
      <c r="R15" s="203" t="n">
        <v>0.21</v>
      </c>
      <c r="U15" s="236"/>
    </row>
    <row r="16" customFormat="false" ht="16.5" hidden="false" customHeight="false" outlineLevel="0" collapsed="false">
      <c r="A16" s="27" t="s">
        <v>299</v>
      </c>
      <c r="B16" s="246" t="n">
        <v>43643</v>
      </c>
      <c r="C16" s="235" t="n">
        <v>4.38</v>
      </c>
      <c r="D16" s="235" t="n">
        <v>5.28</v>
      </c>
      <c r="E16" s="235" t="n">
        <v>2.92</v>
      </c>
      <c r="F16" s="235" t="n">
        <v>3.52</v>
      </c>
      <c r="G16" s="235" t="n">
        <v>1.95</v>
      </c>
      <c r="H16" s="235" t="n">
        <v>2.35</v>
      </c>
      <c r="I16" s="235" t="n">
        <v>1.3</v>
      </c>
      <c r="J16" s="235" t="n">
        <v>1.56</v>
      </c>
      <c r="K16" s="235" t="n">
        <v>0.99</v>
      </c>
      <c r="L16" s="235" t="n">
        <v>1.19</v>
      </c>
      <c r="M16" s="235" t="n">
        <v>0.78</v>
      </c>
      <c r="N16" s="235" t="n">
        <v>0.94</v>
      </c>
      <c r="O16" s="235" t="n">
        <v>0.25</v>
      </c>
      <c r="P16" s="235" t="n">
        <v>0.3</v>
      </c>
      <c r="Q16" s="235" t="n">
        <v>0.21</v>
      </c>
      <c r="R16" s="235" t="n">
        <v>0.25</v>
      </c>
      <c r="U16" s="237"/>
    </row>
    <row r="17" customFormat="false" ht="16.5" hidden="false" customHeight="false" outlineLevel="0" collapsed="false">
      <c r="A17" s="27" t="s">
        <v>300</v>
      </c>
      <c r="B17" s="246" t="n">
        <v>43735</v>
      </c>
      <c r="C17" s="203" t="n">
        <v>3.69</v>
      </c>
      <c r="D17" s="203" t="n">
        <v>4.44</v>
      </c>
      <c r="E17" s="203" t="n">
        <v>2.46</v>
      </c>
      <c r="F17" s="203" t="n">
        <v>2.96</v>
      </c>
      <c r="G17" s="203" t="n">
        <v>1.64</v>
      </c>
      <c r="H17" s="203" t="n">
        <v>1.97</v>
      </c>
      <c r="I17" s="203" t="n">
        <v>1.09</v>
      </c>
      <c r="J17" s="203" t="n">
        <v>1.32</v>
      </c>
      <c r="K17" s="203" t="n">
        <v>0.83</v>
      </c>
      <c r="L17" s="203" t="n">
        <v>1</v>
      </c>
      <c r="M17" s="203" t="n">
        <v>0.66</v>
      </c>
      <c r="N17" s="203" t="n">
        <v>0.79</v>
      </c>
      <c r="O17" s="203" t="n">
        <v>0.21</v>
      </c>
      <c r="P17" s="203" t="n">
        <v>0.25</v>
      </c>
      <c r="Q17" s="203" t="n">
        <v>0.17</v>
      </c>
      <c r="R17" s="203" t="n">
        <v>0.2</v>
      </c>
    </row>
    <row r="18" customFormat="false" ht="16.5" hidden="false" customHeight="false" outlineLevel="0" collapsed="false">
      <c r="A18" s="27" t="s">
        <v>301</v>
      </c>
      <c r="B18" s="246" t="n">
        <v>43805</v>
      </c>
      <c r="C18" s="235" t="n">
        <v>4.36</v>
      </c>
      <c r="D18" s="235" t="n">
        <v>5.25</v>
      </c>
      <c r="E18" s="235" t="n">
        <v>2.91</v>
      </c>
      <c r="F18" s="235" t="n">
        <v>3.5</v>
      </c>
      <c r="G18" s="235" t="n">
        <v>1.94</v>
      </c>
      <c r="H18" s="235" t="n">
        <v>2.34</v>
      </c>
      <c r="I18" s="235" t="n">
        <v>1.29</v>
      </c>
      <c r="J18" s="235" t="n">
        <v>1.56</v>
      </c>
      <c r="K18" s="235" t="n">
        <v>0.99</v>
      </c>
      <c r="L18" s="235" t="n">
        <v>1.19</v>
      </c>
      <c r="M18" s="235" t="n">
        <v>0.78</v>
      </c>
      <c r="N18" s="235" t="n">
        <v>0.94</v>
      </c>
      <c r="O18" s="235" t="n">
        <v>0.26</v>
      </c>
      <c r="P18" s="235" t="n">
        <v>0.31</v>
      </c>
      <c r="Q18" s="235" t="n">
        <v>0.21</v>
      </c>
      <c r="R18" s="235" t="n">
        <v>0.25</v>
      </c>
    </row>
    <row r="19" customFormat="false" ht="16.5" hidden="false" customHeight="false" outlineLevel="0" collapsed="false">
      <c r="A19" s="27" t="s">
        <v>302</v>
      </c>
      <c r="B19" s="246" t="n">
        <v>43690</v>
      </c>
      <c r="C19" s="203" t="n">
        <v>4.19</v>
      </c>
      <c r="D19" s="203" t="n">
        <v>5.04</v>
      </c>
      <c r="E19" s="203" t="n">
        <v>2.79</v>
      </c>
      <c r="F19" s="203" t="n">
        <v>3.36</v>
      </c>
      <c r="G19" s="203" t="n">
        <v>1.86</v>
      </c>
      <c r="H19" s="203" t="n">
        <v>2.24</v>
      </c>
      <c r="I19" s="203" t="n">
        <v>1.24</v>
      </c>
      <c r="J19" s="203" t="n">
        <v>1.49</v>
      </c>
      <c r="K19" s="203" t="n">
        <v>0.95</v>
      </c>
      <c r="L19" s="203" t="n">
        <v>1.14</v>
      </c>
      <c r="M19" s="203" t="n">
        <v>0.75</v>
      </c>
      <c r="N19" s="203" t="n">
        <v>0.9</v>
      </c>
      <c r="O19" s="203" t="n">
        <v>0.23</v>
      </c>
      <c r="P19" s="203" t="n">
        <v>0.28</v>
      </c>
      <c r="Q19" s="203" t="n">
        <v>0.19</v>
      </c>
      <c r="R19" s="203" t="n">
        <v>0.22</v>
      </c>
    </row>
    <row r="20" customFormat="false" ht="16.5" hidden="false" customHeight="false" outlineLevel="0" collapsed="false">
      <c r="A20" s="27" t="s">
        <v>303</v>
      </c>
      <c r="B20" s="246" t="n">
        <v>43761</v>
      </c>
      <c r="C20" s="235" t="n">
        <v>3.74</v>
      </c>
      <c r="D20" s="235" t="n">
        <v>4.5</v>
      </c>
      <c r="E20" s="235" t="n">
        <v>2.49</v>
      </c>
      <c r="F20" s="235" t="n">
        <v>3</v>
      </c>
      <c r="G20" s="235" t="n">
        <v>1.66</v>
      </c>
      <c r="H20" s="235" t="n">
        <v>2</v>
      </c>
      <c r="I20" s="235" t="n">
        <v>1.11</v>
      </c>
      <c r="J20" s="235" t="n">
        <v>1.33</v>
      </c>
      <c r="K20" s="235" t="n">
        <v>0.84</v>
      </c>
      <c r="L20" s="235" t="n">
        <v>1.02</v>
      </c>
      <c r="M20" s="235" t="n">
        <v>0.67</v>
      </c>
      <c r="N20" s="235" t="n">
        <v>0.8</v>
      </c>
      <c r="O20" s="235" t="n">
        <v>0.2</v>
      </c>
      <c r="P20" s="235" t="n">
        <v>0.24</v>
      </c>
      <c r="Q20" s="235" t="n">
        <v>0.17</v>
      </c>
      <c r="R20" s="235" t="n">
        <v>0.2</v>
      </c>
    </row>
    <row r="21" customFormat="false" ht="16.5" hidden="false" customHeight="false" outlineLevel="0" collapsed="false">
      <c r="A21" s="27" t="s">
        <v>39</v>
      </c>
      <c r="B21" s="246" t="n">
        <v>43287</v>
      </c>
      <c r="C21" s="203" t="n">
        <v>3.7</v>
      </c>
      <c r="D21" s="203" t="n">
        <v>4.45</v>
      </c>
      <c r="E21" s="203" t="n">
        <v>2.47</v>
      </c>
      <c r="F21" s="203" t="n">
        <v>2.97</v>
      </c>
      <c r="G21" s="203" t="n">
        <v>1.64</v>
      </c>
      <c r="H21" s="203" t="n">
        <v>1.98</v>
      </c>
      <c r="I21" s="203" t="n">
        <v>1.1</v>
      </c>
      <c r="J21" s="203" t="n">
        <v>1.32</v>
      </c>
      <c r="K21" s="203" t="n">
        <v>0.84</v>
      </c>
      <c r="L21" s="203" t="n">
        <v>1.01</v>
      </c>
      <c r="M21" s="203" t="n">
        <v>0.66</v>
      </c>
      <c r="N21" s="203" t="n">
        <v>0.79</v>
      </c>
      <c r="O21" s="203" t="n">
        <v>0.2</v>
      </c>
      <c r="P21" s="203" t="n">
        <v>0.24</v>
      </c>
      <c r="Q21" s="203" t="n">
        <v>0.16</v>
      </c>
      <c r="R21" s="203" t="n">
        <v>0.2</v>
      </c>
    </row>
    <row r="22" customFormat="false" ht="16.5" hidden="false" customHeight="false" outlineLevel="0" collapsed="false">
      <c r="A22" s="27" t="s">
        <v>304</v>
      </c>
      <c r="B22" s="246" t="n">
        <v>43805</v>
      </c>
      <c r="C22" s="235" t="n">
        <v>3.92</v>
      </c>
      <c r="D22" s="235" t="n">
        <v>4.72</v>
      </c>
      <c r="E22" s="235" t="n">
        <v>2.61</v>
      </c>
      <c r="F22" s="235" t="n">
        <v>3.15</v>
      </c>
      <c r="G22" s="235" t="n">
        <v>1.74</v>
      </c>
      <c r="H22" s="235" t="n">
        <v>2.1</v>
      </c>
      <c r="I22" s="235" t="n">
        <v>1.16</v>
      </c>
      <c r="J22" s="235" t="n">
        <v>1.4</v>
      </c>
      <c r="K22" s="235" t="n">
        <v>0.89</v>
      </c>
      <c r="L22" s="235" t="n">
        <v>1.07</v>
      </c>
      <c r="M22" s="235" t="n">
        <v>0.7</v>
      </c>
      <c r="N22" s="235" t="n">
        <v>0.84</v>
      </c>
      <c r="O22" s="235" t="n">
        <v>0.24</v>
      </c>
      <c r="P22" s="235" t="n">
        <v>0.28</v>
      </c>
      <c r="Q22" s="235" t="n">
        <v>0.19</v>
      </c>
      <c r="R22" s="235" t="n">
        <v>0.23</v>
      </c>
    </row>
    <row r="23" customFormat="false" ht="16.5" hidden="false" customHeight="false" outlineLevel="0" collapsed="false">
      <c r="A23" s="27" t="s">
        <v>305</v>
      </c>
      <c r="B23" s="246" t="n">
        <v>43234</v>
      </c>
      <c r="C23" s="203" t="n">
        <v>4.36</v>
      </c>
      <c r="D23" s="203" t="n">
        <v>5.25</v>
      </c>
      <c r="E23" s="203" t="n">
        <v>2.91</v>
      </c>
      <c r="F23" s="203" t="n">
        <v>3.5</v>
      </c>
      <c r="G23" s="203" t="n">
        <v>1.94</v>
      </c>
      <c r="H23" s="203" t="n">
        <v>2.33</v>
      </c>
      <c r="I23" s="203" t="n">
        <v>1.29</v>
      </c>
      <c r="J23" s="203" t="n">
        <v>1.56</v>
      </c>
      <c r="K23" s="203" t="n">
        <v>0.99</v>
      </c>
      <c r="L23" s="203" t="n">
        <v>1.19</v>
      </c>
      <c r="M23" s="203" t="n">
        <v>0.78</v>
      </c>
      <c r="N23" s="203" t="n">
        <v>0.94</v>
      </c>
      <c r="O23" s="203" t="n">
        <v>0.24</v>
      </c>
      <c r="P23" s="203" t="n">
        <v>0.28</v>
      </c>
      <c r="Q23" s="203" t="n">
        <v>0.19</v>
      </c>
      <c r="R23" s="203" t="n">
        <v>0.23</v>
      </c>
    </row>
    <row r="24" customFormat="false" ht="16.5" hidden="false" customHeight="false" outlineLevel="0" collapsed="false">
      <c r="A24" s="27" t="s">
        <v>306</v>
      </c>
      <c r="B24" s="246" t="n">
        <v>43336</v>
      </c>
      <c r="C24" s="235" t="n">
        <v>4.46</v>
      </c>
      <c r="D24" s="235" t="n">
        <v>5.37</v>
      </c>
      <c r="E24" s="235" t="n">
        <v>2.97</v>
      </c>
      <c r="F24" s="235" t="n">
        <v>3.58</v>
      </c>
      <c r="G24" s="235" t="n">
        <v>1.98</v>
      </c>
      <c r="H24" s="235" t="n">
        <v>2.39</v>
      </c>
      <c r="I24" s="235" t="n">
        <v>1.32</v>
      </c>
      <c r="J24" s="235" t="n">
        <v>1.59</v>
      </c>
      <c r="K24" s="235" t="n">
        <v>1.01</v>
      </c>
      <c r="L24" s="235" t="n">
        <v>1.21</v>
      </c>
      <c r="M24" s="235" t="n">
        <v>0.8</v>
      </c>
      <c r="N24" s="235" t="n">
        <v>0.96</v>
      </c>
      <c r="O24" s="235" t="n">
        <v>0.29</v>
      </c>
      <c r="P24" s="235" t="n">
        <v>0.34</v>
      </c>
      <c r="Q24" s="235" t="n">
        <v>0.23</v>
      </c>
      <c r="R24" s="235" t="n">
        <v>0.28</v>
      </c>
    </row>
    <row r="25" customFormat="false" ht="16.5" hidden="false" customHeight="false" outlineLevel="0" collapsed="false">
      <c r="A25" s="27" t="s">
        <v>307</v>
      </c>
      <c r="B25" s="246" t="n">
        <v>43349</v>
      </c>
      <c r="C25" s="203" t="n">
        <v>3.47</v>
      </c>
      <c r="D25" s="203" t="n">
        <v>4.18</v>
      </c>
      <c r="E25" s="203" t="n">
        <v>2.31</v>
      </c>
      <c r="F25" s="203" t="n">
        <v>2.79</v>
      </c>
      <c r="G25" s="203" t="n">
        <v>1.54</v>
      </c>
      <c r="H25" s="203" t="n">
        <v>1.86</v>
      </c>
      <c r="I25" s="203" t="n">
        <v>1.03</v>
      </c>
      <c r="J25" s="203" t="n">
        <v>1.24</v>
      </c>
      <c r="K25" s="203" t="n">
        <v>0.78</v>
      </c>
      <c r="L25" s="203" t="n">
        <v>0.94</v>
      </c>
      <c r="M25" s="203" t="n">
        <v>0.62</v>
      </c>
      <c r="N25" s="203" t="n">
        <v>0.75</v>
      </c>
      <c r="O25" s="203" t="n">
        <v>0.18</v>
      </c>
      <c r="P25" s="203" t="n">
        <v>0.22</v>
      </c>
      <c r="Q25" s="203" t="n">
        <v>0.15</v>
      </c>
      <c r="R25" s="203" t="n">
        <v>0.18</v>
      </c>
      <c r="Z25" s="247"/>
      <c r="AA25" s="248"/>
      <c r="AB25" s="249"/>
      <c r="AC25" s="248"/>
      <c r="AD25" s="249"/>
      <c r="AE25" s="248"/>
      <c r="AF25" s="249"/>
      <c r="AG25" s="248"/>
    </row>
    <row r="26" customFormat="false" ht="16.5" hidden="false" customHeight="false" outlineLevel="0" collapsed="false">
      <c r="A26" s="27" t="s">
        <v>308</v>
      </c>
      <c r="B26" s="246" t="n">
        <v>43336</v>
      </c>
      <c r="C26" s="235" t="n">
        <v>4.19</v>
      </c>
      <c r="D26" s="235" t="n">
        <v>5.04</v>
      </c>
      <c r="E26" s="235" t="n">
        <v>2.79</v>
      </c>
      <c r="F26" s="235" t="n">
        <v>3.36</v>
      </c>
      <c r="G26" s="235" t="n">
        <v>1.86</v>
      </c>
      <c r="H26" s="235" t="n">
        <v>2.24</v>
      </c>
      <c r="I26" s="235" t="n">
        <v>1.24</v>
      </c>
      <c r="J26" s="235" t="n">
        <v>1.49</v>
      </c>
      <c r="K26" s="235" t="n">
        <v>0.95</v>
      </c>
      <c r="L26" s="235" t="n">
        <v>1.14</v>
      </c>
      <c r="M26" s="235" t="n">
        <v>0.75</v>
      </c>
      <c r="N26" s="235" t="n">
        <v>0.9</v>
      </c>
      <c r="O26" s="235" t="n">
        <v>0.25</v>
      </c>
      <c r="P26" s="235" t="n">
        <v>0.3</v>
      </c>
      <c r="Q26" s="235" t="n">
        <v>0.21</v>
      </c>
      <c r="R26" s="235" t="n">
        <v>0.25</v>
      </c>
    </row>
    <row r="27" customFormat="false" ht="16.5" hidden="false" customHeight="false" outlineLevel="0" collapsed="false">
      <c r="A27" s="27" t="s">
        <v>309</v>
      </c>
      <c r="B27" s="246" t="n">
        <v>43017</v>
      </c>
      <c r="C27" s="203" t="n">
        <v>4.09</v>
      </c>
      <c r="D27" s="203" t="n">
        <v>4.95</v>
      </c>
      <c r="E27" s="203" t="n">
        <v>2.72</v>
      </c>
      <c r="F27" s="203" t="n">
        <v>3.3</v>
      </c>
      <c r="G27" s="203" t="n">
        <v>1.82</v>
      </c>
      <c r="H27" s="203" t="n">
        <v>2.2</v>
      </c>
      <c r="I27" s="203" t="n">
        <v>1.21</v>
      </c>
      <c r="J27" s="203" t="n">
        <v>1.47</v>
      </c>
      <c r="K27" s="203" t="n">
        <v>0.92</v>
      </c>
      <c r="L27" s="203" t="n">
        <v>1.12</v>
      </c>
      <c r="M27" s="203" t="n">
        <v>0.73</v>
      </c>
      <c r="N27" s="203" t="n">
        <v>0.88</v>
      </c>
      <c r="O27" s="203" t="n">
        <v>0.27</v>
      </c>
      <c r="P27" s="203" t="n">
        <v>0.32</v>
      </c>
      <c r="Q27" s="203" t="n">
        <v>0.22</v>
      </c>
      <c r="R27" s="203" t="n">
        <v>0.26</v>
      </c>
    </row>
    <row r="28" customFormat="false" ht="16.5" hidden="false" customHeight="false" outlineLevel="0" collapsed="false">
      <c r="A28" s="27" t="s">
        <v>310</v>
      </c>
      <c r="B28" s="246" t="n">
        <v>43643</v>
      </c>
      <c r="C28" s="235" t="n">
        <v>4.71</v>
      </c>
      <c r="D28" s="235" t="n">
        <v>5.67</v>
      </c>
      <c r="E28" s="235" t="n">
        <v>3.14</v>
      </c>
      <c r="F28" s="235" t="n">
        <v>3.78</v>
      </c>
      <c r="G28" s="235" t="n">
        <v>2.09</v>
      </c>
      <c r="H28" s="235" t="n">
        <v>2.52</v>
      </c>
      <c r="I28" s="235" t="n">
        <v>1.39</v>
      </c>
      <c r="J28" s="235" t="n">
        <v>1.68</v>
      </c>
      <c r="K28" s="235" t="n">
        <v>1.06</v>
      </c>
      <c r="L28" s="235" t="n">
        <v>1.28</v>
      </c>
      <c r="M28" s="235" t="n">
        <v>0.84</v>
      </c>
      <c r="N28" s="235" t="n">
        <v>1.01</v>
      </c>
      <c r="O28" s="235" t="n">
        <v>0.26</v>
      </c>
      <c r="P28" s="235" t="n">
        <v>0.31</v>
      </c>
      <c r="Q28" s="235" t="n">
        <v>0.21</v>
      </c>
      <c r="R28" s="235" t="n">
        <v>0.25</v>
      </c>
      <c r="V28" s="238"/>
    </row>
    <row r="29" customFormat="false" ht="16.5" hidden="false" customHeight="false" outlineLevel="0" collapsed="false">
      <c r="A29" s="27" t="s">
        <v>311</v>
      </c>
      <c r="B29" s="246" t="n">
        <v>43690</v>
      </c>
      <c r="C29" s="203" t="n">
        <v>4.95</v>
      </c>
      <c r="D29" s="203" t="n">
        <v>5.97</v>
      </c>
      <c r="E29" s="203" t="n">
        <v>3.3</v>
      </c>
      <c r="F29" s="203" t="n">
        <v>3.98</v>
      </c>
      <c r="G29" s="203" t="n">
        <v>2.2</v>
      </c>
      <c r="H29" s="203" t="n">
        <v>2.65</v>
      </c>
      <c r="I29" s="203" t="n">
        <v>1.47</v>
      </c>
      <c r="J29" s="203" t="n">
        <v>1.77</v>
      </c>
      <c r="K29" s="203" t="n">
        <v>1.12</v>
      </c>
      <c r="L29" s="203" t="n">
        <v>1.35</v>
      </c>
      <c r="M29" s="203" t="n">
        <v>0.88</v>
      </c>
      <c r="N29" s="203" t="n">
        <v>1.07</v>
      </c>
      <c r="O29" s="203" t="n">
        <v>0.27</v>
      </c>
      <c r="P29" s="203" t="n">
        <v>0.33</v>
      </c>
      <c r="Q29" s="203" t="n">
        <v>0.22</v>
      </c>
      <c r="R29" s="203" t="n">
        <v>0.27</v>
      </c>
      <c r="V29" s="239"/>
    </row>
    <row r="30" customFormat="false" ht="16.5" hidden="false" customHeight="false" outlineLevel="0" collapsed="false">
      <c r="A30" s="27" t="s">
        <v>312</v>
      </c>
      <c r="B30" s="246" t="n">
        <v>43761</v>
      </c>
      <c r="C30" s="235" t="n">
        <v>3.69</v>
      </c>
      <c r="D30" s="235" t="n">
        <v>4.45</v>
      </c>
      <c r="E30" s="235" t="n">
        <v>2.46</v>
      </c>
      <c r="F30" s="235" t="n">
        <v>2.96</v>
      </c>
      <c r="G30" s="235" t="n">
        <v>1.64</v>
      </c>
      <c r="H30" s="235" t="n">
        <v>1.98</v>
      </c>
      <c r="I30" s="235" t="n">
        <v>1.09</v>
      </c>
      <c r="J30" s="235" t="n">
        <v>1.32</v>
      </c>
      <c r="K30" s="235" t="n">
        <v>0.83</v>
      </c>
      <c r="L30" s="235" t="n">
        <v>1.01</v>
      </c>
      <c r="M30" s="235" t="n">
        <v>0.66</v>
      </c>
      <c r="N30" s="235" t="n">
        <v>0.79</v>
      </c>
      <c r="O30" s="235" t="n">
        <v>0.2</v>
      </c>
      <c r="P30" s="235" t="n">
        <v>0.23</v>
      </c>
      <c r="Q30" s="235" t="n">
        <v>0.16</v>
      </c>
      <c r="R30" s="235" t="n">
        <v>0.19</v>
      </c>
      <c r="V30" s="238"/>
    </row>
    <row r="31" customFormat="false" ht="16.5" hidden="false" customHeight="false" outlineLevel="0" collapsed="false">
      <c r="A31" s="27" t="s">
        <v>313</v>
      </c>
      <c r="B31" s="246" t="n">
        <v>43761</v>
      </c>
      <c r="C31" s="203" t="n">
        <v>4.49</v>
      </c>
      <c r="D31" s="203" t="n">
        <v>5.4</v>
      </c>
      <c r="E31" s="203" t="n">
        <v>2.99</v>
      </c>
      <c r="F31" s="203" t="n">
        <v>3.6</v>
      </c>
      <c r="G31" s="203" t="n">
        <v>1.99</v>
      </c>
      <c r="H31" s="203" t="n">
        <v>2.4</v>
      </c>
      <c r="I31" s="203" t="n">
        <v>1.33</v>
      </c>
      <c r="J31" s="203" t="n">
        <v>1.6</v>
      </c>
      <c r="K31" s="203" t="n">
        <v>1.01</v>
      </c>
      <c r="L31" s="203" t="n">
        <v>1.22</v>
      </c>
      <c r="M31" s="203" t="n">
        <v>0.8</v>
      </c>
      <c r="N31" s="203" t="n">
        <v>0.96</v>
      </c>
      <c r="O31" s="203" t="n">
        <v>0.3</v>
      </c>
      <c r="P31" s="203" t="n">
        <v>0.36</v>
      </c>
      <c r="Q31" s="203" t="n">
        <v>0.25</v>
      </c>
      <c r="R31" s="203" t="n">
        <v>0.29</v>
      </c>
      <c r="V31" s="239"/>
    </row>
    <row r="32" customFormat="false" ht="16.5" hidden="false" customHeight="false" outlineLevel="0" collapsed="false">
      <c r="A32" s="27" t="s">
        <v>314</v>
      </c>
      <c r="B32" s="246" t="n">
        <v>43761</v>
      </c>
      <c r="C32" s="235" t="n">
        <v>4.31</v>
      </c>
      <c r="D32" s="235" t="n">
        <v>5.19</v>
      </c>
      <c r="E32" s="235" t="n">
        <v>2.88</v>
      </c>
      <c r="F32" s="235" t="n">
        <v>3.46</v>
      </c>
      <c r="G32" s="235" t="n">
        <v>1.92</v>
      </c>
      <c r="H32" s="235" t="n">
        <v>2.31</v>
      </c>
      <c r="I32" s="235" t="n">
        <v>1.28</v>
      </c>
      <c r="J32" s="235" t="n">
        <v>1.54</v>
      </c>
      <c r="K32" s="235" t="n">
        <v>0.97</v>
      </c>
      <c r="L32" s="235" t="n">
        <v>1.17</v>
      </c>
      <c r="M32" s="235" t="n">
        <v>0.77</v>
      </c>
      <c r="N32" s="235" t="n">
        <v>0.93</v>
      </c>
      <c r="O32" s="235" t="n">
        <v>0.37</v>
      </c>
      <c r="P32" s="235" t="n">
        <v>0.44</v>
      </c>
      <c r="Q32" s="235" t="n">
        <v>0.3</v>
      </c>
      <c r="R32" s="235" t="n">
        <v>0.36</v>
      </c>
      <c r="V32" s="238"/>
    </row>
    <row r="33" customFormat="false" ht="16.5" hidden="false" customHeight="false" outlineLevel="0" collapsed="false">
      <c r="A33" s="27" t="s">
        <v>315</v>
      </c>
      <c r="B33" s="27"/>
      <c r="C33" s="25" t="n">
        <f aca="false">AVERAGE(C6:C32)</f>
        <v>4.13</v>
      </c>
      <c r="D33" s="25" t="n">
        <f aca="false">AVERAGE(D6:D32)</f>
        <v>4.98</v>
      </c>
      <c r="E33" s="25" t="n">
        <f aca="false">AVERAGE(E6:E32)</f>
        <v>2.75</v>
      </c>
      <c r="F33" s="25" t="n">
        <f aca="false">AVERAGE(F6:F32)</f>
        <v>3.32</v>
      </c>
      <c r="G33" s="25" t="n">
        <f aca="false">AVERAGE(G6:G32)</f>
        <v>1.84</v>
      </c>
      <c r="H33" s="25" t="n">
        <f aca="false">AVERAGE(H6:H32)</f>
        <v>2.21</v>
      </c>
      <c r="I33" s="25" t="n">
        <f aca="false">AVERAGE(I6:I32)</f>
        <v>1.22</v>
      </c>
      <c r="J33" s="25" t="n">
        <f aca="false">AVERAGE(J6:J32)</f>
        <v>1.47</v>
      </c>
      <c r="K33" s="25" t="n">
        <f aca="false">AVERAGE(K6:K32)</f>
        <v>0.93</v>
      </c>
      <c r="L33" s="25" t="n">
        <f aca="false">AVERAGE(L6:L32)</f>
        <v>1.12</v>
      </c>
      <c r="M33" s="25" t="n">
        <f aca="false">AVERAGE(M6:M32)</f>
        <v>0.74</v>
      </c>
      <c r="N33" s="25" t="n">
        <f aca="false">AVERAGE(N6:N32)</f>
        <v>0.89</v>
      </c>
      <c r="O33" s="25" t="n">
        <f aca="false">AVERAGE(O6:O32)</f>
        <v>0.25</v>
      </c>
      <c r="P33" s="25" t="n">
        <f aca="false">AVERAGE(P6:P32)</f>
        <v>0.3</v>
      </c>
      <c r="Q33" s="25" t="n">
        <f aca="false">AVERAGE(Q6:Q32)</f>
        <v>0.2</v>
      </c>
      <c r="R33" s="25" t="n">
        <f aca="false">AVERAGE(R6:R32)</f>
        <v>0.24</v>
      </c>
      <c r="V33" s="239"/>
    </row>
    <row r="34" customFormat="false" ht="16.5" hidden="false" customHeight="true" outlineLevel="0" collapsed="false">
      <c r="A34" s="15" t="s">
        <v>316</v>
      </c>
      <c r="B34" s="15"/>
      <c r="C34" s="25" t="n">
        <f aca="false">SMALL(C6:C32,27)</f>
        <v>5.6</v>
      </c>
      <c r="D34" s="25" t="n">
        <f aca="false">SMALL(D6:D32,27)</f>
        <v>6.73</v>
      </c>
      <c r="E34" s="25" t="n">
        <f aca="false">SMALL(E6:E32,27)</f>
        <v>3.73</v>
      </c>
      <c r="F34" s="25" t="n">
        <f aca="false">SMALL(F6:F32,27)</f>
        <v>4.48</v>
      </c>
      <c r="G34" s="25" t="n">
        <f aca="false">SMALL(G6:G32,27)</f>
        <v>2.49</v>
      </c>
      <c r="H34" s="25" t="n">
        <f aca="false">SMALL(H6:H32,27)</f>
        <v>2.99</v>
      </c>
      <c r="I34" s="25" t="n">
        <f aca="false">SMALL(I6:I32,27)</f>
        <v>1.66</v>
      </c>
      <c r="J34" s="25" t="n">
        <f aca="false">SMALL(J6:J32,27)</f>
        <v>1.99</v>
      </c>
      <c r="K34" s="25" t="n">
        <f aca="false">SMALL(K6:K32,27)</f>
        <v>1.26</v>
      </c>
      <c r="L34" s="25" t="n">
        <f aca="false">SMALL(L6:L32,27)</f>
        <v>1.52</v>
      </c>
      <c r="M34" s="25" t="n">
        <f aca="false">SMALL(M6:M32,27)</f>
        <v>1</v>
      </c>
      <c r="N34" s="25" t="n">
        <f aca="false">SMALL(N6:N32,27)</f>
        <v>1.2</v>
      </c>
      <c r="O34" s="25" t="n">
        <f aca="false">SMALL(O6:O32,27)</f>
        <v>0.4</v>
      </c>
      <c r="P34" s="25" t="n">
        <f aca="false">SMALL(P6:P32,27)</f>
        <v>0.48</v>
      </c>
      <c r="Q34" s="25" t="n">
        <f aca="false">SMALL(Q6:Q32,27)</f>
        <v>0.33</v>
      </c>
      <c r="R34" s="25" t="n">
        <f aca="false">SMALL(R6:R32,27)</f>
        <v>0.39</v>
      </c>
      <c r="V34" s="238"/>
      <c r="X34" s="250"/>
    </row>
    <row r="35" customFormat="false" ht="16.5" hidden="false" customHeight="true" outlineLevel="0" collapsed="false">
      <c r="A35" s="15" t="s">
        <v>317</v>
      </c>
      <c r="B35" s="15"/>
      <c r="C35" s="25" t="n">
        <f aca="false">LARGE(C7:C33,27)</f>
        <v>3.47</v>
      </c>
      <c r="D35" s="25" t="n">
        <f aca="false">LARGE(D7:D33,27)</f>
        <v>4.18</v>
      </c>
      <c r="E35" s="25" t="n">
        <f aca="false">LARGE(E7:E33,27)</f>
        <v>2.31</v>
      </c>
      <c r="F35" s="25" t="n">
        <f aca="false">LARGE(F7:F33,27)</f>
        <v>2.79</v>
      </c>
      <c r="G35" s="25" t="n">
        <f aca="false">LARGE(G7:G33,27)</f>
        <v>1.54</v>
      </c>
      <c r="H35" s="25" t="n">
        <f aca="false">LARGE(H7:H33,27)</f>
        <v>1.86</v>
      </c>
      <c r="I35" s="25" t="n">
        <f aca="false">LARGE(I7:I33,27)</f>
        <v>1.03</v>
      </c>
      <c r="J35" s="25" t="n">
        <f aca="false">LARGE(J7:J33,27)</f>
        <v>1.24</v>
      </c>
      <c r="K35" s="25" t="n">
        <f aca="false">LARGE(K7:K33,27)</f>
        <v>0.78</v>
      </c>
      <c r="L35" s="25" t="n">
        <f aca="false">LARGE(L7:L33,27)</f>
        <v>0.94</v>
      </c>
      <c r="M35" s="25" t="n">
        <f aca="false">LARGE(M7:M33,27)</f>
        <v>0.62</v>
      </c>
      <c r="N35" s="25" t="n">
        <f aca="false">LARGE(N7:N33,27)</f>
        <v>0.75</v>
      </c>
      <c r="O35" s="25" t="n">
        <f aca="false">LARGE(O7:O33,27)</f>
        <v>0.18</v>
      </c>
      <c r="P35" s="25" t="n">
        <f aca="false">LARGE(P7:P33,27)</f>
        <v>0.22</v>
      </c>
      <c r="Q35" s="25" t="n">
        <f aca="false">LARGE(Q7:Q33,27)</f>
        <v>0.15</v>
      </c>
      <c r="R35" s="25" t="n">
        <f aca="false">LARGE(R7:R33,27)</f>
        <v>0.18</v>
      </c>
      <c r="V35" s="239"/>
      <c r="X35" s="251"/>
    </row>
    <row r="36" customFormat="false" ht="16.5" hidden="false" customHeight="false" outlineLevel="0" collapsed="false">
      <c r="L36" s="228"/>
      <c r="M36" s="228"/>
      <c r="N36" s="228"/>
      <c r="Q36" s="228"/>
      <c r="X36" s="250"/>
    </row>
    <row r="37" customFormat="false" ht="16.5" hidden="false" customHeight="false" outlineLevel="0" collapsed="false">
      <c r="X37" s="251"/>
    </row>
    <row r="38" customFormat="false" ht="16.5" hidden="false" customHeight="false" outlineLevel="0" collapsed="false">
      <c r="X38" s="250"/>
    </row>
    <row r="39" customFormat="false" ht="16.5" hidden="false" customHeight="false" outlineLevel="0" collapsed="false">
      <c r="X39" s="251"/>
    </row>
    <row r="40" customFormat="false" ht="16.5" hidden="false" customHeight="false" outlineLevel="0" collapsed="false">
      <c r="X40" s="250"/>
    </row>
    <row r="41" customFormat="false" ht="16.5" hidden="false" customHeight="false" outlineLevel="0" collapsed="false">
      <c r="X41" s="251"/>
    </row>
  </sheetData>
  <sheetProtection sheet="true" objects="true" scenarios="true"/>
  <mergeCells count="9">
    <mergeCell ref="A2:A5"/>
    <mergeCell ref="B2:B5"/>
    <mergeCell ref="C2:F3"/>
    <mergeCell ref="G2:J3"/>
    <mergeCell ref="K2:N3"/>
    <mergeCell ref="O2:R3"/>
    <mergeCell ref="A33:B33"/>
    <mergeCell ref="A34:B34"/>
    <mergeCell ref="A35:B35"/>
  </mergeCells>
  <printOptions headings="false" gridLines="false" gridLinesSet="true" horizontalCentered="true" verticalCentered="true"/>
  <pageMargins left="0.157638888888889" right="0.196527777777778" top="0.170138888888889" bottom="0.157638888888889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796875" defaultRowHeight="12.75" zeroHeight="false" outlineLevelRow="0" outlineLevelCol="0"/>
  <cols>
    <col collapsed="false" customWidth="true" hidden="false" outlineLevel="0" max="1" min="1" style="252" width="21.57"/>
    <col collapsed="false" customWidth="true" hidden="false" outlineLevel="0" max="2" min="2" style="252" width="21"/>
    <col collapsed="false" customWidth="true" hidden="false" outlineLevel="0" max="3" min="3" style="252" width="18.42"/>
    <col collapsed="false" customWidth="true" hidden="false" outlineLevel="0" max="4" min="4" style="252" width="14.71"/>
  </cols>
  <sheetData>
    <row r="1" customFormat="false" ht="20.25" hidden="false" customHeight="true" outlineLevel="0" collapsed="false">
      <c r="A1" s="253" t="s">
        <v>326</v>
      </c>
      <c r="B1" s="253"/>
      <c r="C1" s="253"/>
      <c r="D1" s="253"/>
    </row>
    <row r="2" customFormat="false" ht="12.75" hidden="false" customHeight="true" outlineLevel="0" collapsed="false">
      <c r="A2" s="15" t="s">
        <v>249</v>
      </c>
      <c r="B2" s="15" t="s">
        <v>250</v>
      </c>
      <c r="C2" s="43" t="s">
        <v>327</v>
      </c>
      <c r="D2" s="15" t="s">
        <v>328</v>
      </c>
    </row>
    <row r="3" customFormat="false" ht="36" hidden="false" customHeight="true" outlineLevel="0" collapsed="false">
      <c r="A3" s="15"/>
      <c r="B3" s="15"/>
      <c r="C3" s="43"/>
      <c r="D3" s="15"/>
    </row>
    <row r="4" customFormat="false" ht="16.4" hidden="false" customHeight="false" outlineLevel="0" collapsed="false">
      <c r="A4" s="15"/>
      <c r="B4" s="15" t="s">
        <v>26</v>
      </c>
      <c r="C4" s="15" t="s">
        <v>329</v>
      </c>
      <c r="D4" s="15" t="s">
        <v>330</v>
      </c>
    </row>
    <row r="5" customFormat="false" ht="13.8" hidden="false" customHeight="false" outlineLevel="0" collapsed="false">
      <c r="A5" s="181" t="s">
        <v>28</v>
      </c>
      <c r="B5" s="202" t="n">
        <f aca="false">AREA_INTERNA_TOTAL</f>
        <v>7177.36</v>
      </c>
      <c r="C5" s="143" t="n">
        <f aca="false">PRODUT_AREA_INTERNA</f>
        <v>800</v>
      </c>
      <c r="D5" s="254" t="n">
        <f aca="false">IFERROR(AREA_INTERNA_TOTAL/PRODUT_AREA_INTERNA,0)</f>
        <v>9</v>
      </c>
    </row>
    <row r="6" customFormat="false" ht="13.8" hidden="false" customHeight="false" outlineLevel="0" collapsed="false">
      <c r="A6" s="181" t="s">
        <v>30</v>
      </c>
      <c r="B6" s="203" t="n">
        <f aca="false">AREA_EXTERNA_TOTAL</f>
        <v>17002.12</v>
      </c>
      <c r="C6" s="145" t="n">
        <f aca="false">PRODUT_AREA_EXTERNA</f>
        <v>1800</v>
      </c>
      <c r="D6" s="255" t="n">
        <f aca="false">IFERROR(AREA_EXTERNA_TOTAL/PRODUT_AREA_EXTERNA,0)</f>
        <v>9.4</v>
      </c>
    </row>
    <row r="7" customFormat="false" ht="13.8" hidden="false" customHeight="false" outlineLevel="0" collapsed="false">
      <c r="A7" s="181" t="s">
        <v>33</v>
      </c>
      <c r="B7" s="202" t="n">
        <f aca="false">AREA_ESQ_EXTERNA_TOTAL</f>
        <v>0</v>
      </c>
      <c r="C7" s="143" t="n">
        <f aca="false">PRODUT_AREA_ESQ_EXTERNA</f>
        <v>0</v>
      </c>
      <c r="D7" s="254" t="n">
        <f aca="false">IFERROR((AREA_ESQ_EXTERNA_TOTAL*(COEF_KI_ESQ_EXTERNA_ENC+COEF_KI_ESQ_EXTERNA_SERV)),0)</f>
        <v>0</v>
      </c>
    </row>
    <row r="8" customFormat="false" ht="13.8" hidden="false" customHeight="false" outlineLevel="0" collapsed="false">
      <c r="A8" s="181" t="s">
        <v>36</v>
      </c>
      <c r="B8" s="203" t="n">
        <f aca="false">AREA_FACHADA_ENVID_TOTAL</f>
        <v>0</v>
      </c>
      <c r="C8" s="145" t="n">
        <f aca="false">PRODUT_AREA_FACHADA_ENVID</f>
        <v>0</v>
      </c>
      <c r="D8" s="255" t="n">
        <f aca="false">IFERROR(AREA_FACHADA_ENVID_TOTAL*(COEF_KI_FACHADA_ENVID_ENC+COEF_KI_ESQ_EXTERNA_SERV),0)</f>
        <v>0</v>
      </c>
    </row>
    <row r="9" customFormat="false" ht="13.8" hidden="false" customHeight="false" outlineLevel="0" collapsed="false">
      <c r="A9" s="181" t="s">
        <v>40</v>
      </c>
      <c r="B9" s="202" t="n">
        <f aca="false">AREA_MED_HOSP_TOTAL</f>
        <v>0</v>
      </c>
      <c r="C9" s="143" t="n">
        <f aca="false">PRODUT_AREA_HOSPITALAR</f>
        <v>0</v>
      </c>
      <c r="D9" s="254" t="n">
        <f aca="false">IFERROR(AREA_MED_HOSP_TOTAL/PRODUT_AREA_HOSPITALAR,0)</f>
        <v>0</v>
      </c>
    </row>
    <row r="10" customFormat="false" ht="13.8" hidden="false" customHeight="false" outlineLevel="0" collapsed="false">
      <c r="A10" s="204" t="s">
        <v>326</v>
      </c>
      <c r="B10" s="204"/>
      <c r="C10" s="204"/>
      <c r="D10" s="256" t="n">
        <f aca="false">TRUNC(SUM(D5:D9),0)</f>
        <v>18</v>
      </c>
    </row>
  </sheetData>
  <sheetProtection sheet="true" objects="true" scenarios="true"/>
  <mergeCells count="6">
    <mergeCell ref="A1:D1"/>
    <mergeCell ref="A2:A4"/>
    <mergeCell ref="B2:B3"/>
    <mergeCell ref="C2:C3"/>
    <mergeCell ref="D2:D3"/>
    <mergeCell ref="A10:C10"/>
  </mergeCells>
  <printOptions headings="false" gridLines="false" gridLinesSet="true" horizontalCentered="true" verticalCentered="false"/>
  <pageMargins left="0.511805555555556" right="0.511805555555556" top="0.354166666666667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4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31" activeCellId="0" sqref="F31"/>
    </sheetView>
  </sheetViews>
  <sheetFormatPr defaultColWidth="9.1484375" defaultRowHeight="16.5" zeroHeight="false" outlineLevelRow="0" outlineLevelCol="0"/>
  <cols>
    <col collapsed="false" customWidth="true" hidden="false" outlineLevel="0" max="1" min="1" style="1" width="2.71"/>
    <col collapsed="false" customWidth="true" hidden="false" outlineLevel="0" max="2" min="2" style="1" width="8.86"/>
    <col collapsed="false" customWidth="true" hidden="false" outlineLevel="0" max="3" min="3" style="1" width="52.57"/>
    <col collapsed="false" customWidth="true" hidden="false" outlineLevel="0" max="4" min="4" style="1" width="9.71"/>
    <col collapsed="false" customWidth="true" hidden="false" outlineLevel="0" max="5" min="5" style="1" width="12"/>
    <col collapsed="false" customWidth="true" hidden="false" outlineLevel="0" max="6" min="6" style="1" width="17"/>
    <col collapsed="false" customWidth="false" hidden="false" outlineLevel="0" max="16384" min="7" style="1" width="9.14"/>
  </cols>
  <sheetData>
    <row r="1" s="6" customFormat="true" ht="19.7" hidden="false" customHeight="false" outlineLevel="0" collapsed="false">
      <c r="B1" s="63" t="s">
        <v>124</v>
      </c>
      <c r="C1" s="1"/>
      <c r="D1" s="1"/>
      <c r="E1" s="1"/>
      <c r="F1" s="1"/>
    </row>
    <row r="2" customFormat="false" ht="16.5" hidden="false" customHeight="false" outlineLevel="0" collapsed="false">
      <c r="B2" s="64" t="s">
        <v>74</v>
      </c>
      <c r="E2" s="65"/>
      <c r="F2" s="65"/>
    </row>
    <row r="3" customFormat="false" ht="31.3" hidden="false" customHeight="true" outlineLevel="0" collapsed="false">
      <c r="B3" s="27" t="n">
        <v>1</v>
      </c>
      <c r="C3" s="66" t="s">
        <v>75</v>
      </c>
      <c r="D3" s="66"/>
      <c r="E3" s="66"/>
      <c r="F3" s="15" t="s">
        <v>125</v>
      </c>
    </row>
    <row r="4" customFormat="false" ht="16.5" hidden="false" customHeight="true" outlineLevel="0" collapsed="false">
      <c r="B4" s="27" t="s">
        <v>31</v>
      </c>
      <c r="C4" s="94" t="s">
        <v>126</v>
      </c>
      <c r="D4" s="94"/>
      <c r="E4" s="94"/>
      <c r="F4" s="101" t="n">
        <v>220</v>
      </c>
    </row>
    <row r="5" customFormat="false" ht="16.5" hidden="false" customHeight="true" outlineLevel="0" collapsed="false">
      <c r="B5" s="27" t="s">
        <v>34</v>
      </c>
      <c r="C5" s="67" t="s">
        <v>127</v>
      </c>
      <c r="D5" s="67"/>
      <c r="E5" s="67"/>
      <c r="F5" s="102" t="n">
        <v>7</v>
      </c>
    </row>
    <row r="6" customFormat="false" ht="16.5" hidden="false" customHeight="true" outlineLevel="0" collapsed="false">
      <c r="B6" s="27" t="s">
        <v>37</v>
      </c>
      <c r="C6" s="94" t="s">
        <v>128</v>
      </c>
      <c r="D6" s="94"/>
      <c r="E6" s="94"/>
      <c r="F6" s="101" t="n">
        <v>365</v>
      </c>
    </row>
    <row r="7" customFormat="false" ht="16.5" hidden="false" customHeight="true" outlineLevel="0" collapsed="false">
      <c r="B7" s="27" t="s">
        <v>41</v>
      </c>
      <c r="C7" s="67" t="s">
        <v>129</v>
      </c>
      <c r="D7" s="67"/>
      <c r="E7" s="67"/>
      <c r="F7" s="103" t="n">
        <v>15.2</v>
      </c>
    </row>
    <row r="8" customFormat="false" ht="16.5" hidden="false" customHeight="true" outlineLevel="0" collapsed="false">
      <c r="B8" s="27" t="s">
        <v>44</v>
      </c>
      <c r="C8" s="94" t="s">
        <v>130</v>
      </c>
      <c r="D8" s="94"/>
      <c r="E8" s="94"/>
      <c r="F8" s="101" t="n">
        <v>12</v>
      </c>
    </row>
    <row r="9" customFormat="false" ht="16.5" hidden="false" customHeight="true" outlineLevel="0" collapsed="false">
      <c r="B9" s="27" t="s">
        <v>97</v>
      </c>
      <c r="C9" s="67" t="s">
        <v>131</v>
      </c>
      <c r="D9" s="67"/>
      <c r="E9" s="67"/>
      <c r="F9" s="102" t="n">
        <v>6</v>
      </c>
    </row>
    <row r="10" customFormat="false" ht="16.5" hidden="false" customHeight="true" outlineLevel="0" collapsed="false">
      <c r="B10" s="27" t="s">
        <v>132</v>
      </c>
      <c r="C10" s="104" t="s">
        <v>133</v>
      </c>
      <c r="D10" s="104"/>
      <c r="E10" s="104"/>
      <c r="F10" s="101" t="n">
        <v>60</v>
      </c>
    </row>
    <row r="11" customFormat="false" ht="16.5" hidden="false" customHeight="true" outlineLevel="0" collapsed="false">
      <c r="B11" s="27" t="s">
        <v>134</v>
      </c>
      <c r="C11" s="67" t="s">
        <v>135</v>
      </c>
      <c r="D11" s="67"/>
      <c r="E11" s="67"/>
      <c r="F11" s="102" t="n">
        <v>44</v>
      </c>
    </row>
    <row r="12" s="71" customFormat="true" ht="16.5" hidden="false" customHeight="false" outlineLevel="0" collapsed="false"/>
    <row r="13" s="71" customFormat="true" ht="16.5" hidden="false" customHeight="false" outlineLevel="0" collapsed="false">
      <c r="A13" s="1"/>
      <c r="B13" s="64" t="s">
        <v>81</v>
      </c>
      <c r="C13" s="1"/>
      <c r="D13" s="1"/>
      <c r="E13" s="72"/>
      <c r="F13" s="72"/>
    </row>
    <row r="14" s="71" customFormat="true" ht="16.5" hidden="false" customHeight="false" outlineLevel="0" collapsed="false">
      <c r="A14" s="1"/>
      <c r="B14" s="64" t="s">
        <v>87</v>
      </c>
      <c r="C14" s="6"/>
      <c r="D14" s="6"/>
      <c r="E14" s="6"/>
      <c r="F14" s="6"/>
    </row>
    <row r="15" s="71" customFormat="true" ht="15" hidden="false" customHeight="true" outlineLevel="0" collapsed="false">
      <c r="A15" s="1"/>
      <c r="B15" s="27" t="s">
        <v>88</v>
      </c>
      <c r="C15" s="66" t="s">
        <v>89</v>
      </c>
      <c r="D15" s="66"/>
      <c r="E15" s="15" t="s">
        <v>136</v>
      </c>
      <c r="F15" s="15" t="s">
        <v>103</v>
      </c>
    </row>
    <row r="16" s="71" customFormat="true" ht="16.5" hidden="false" customHeight="false" outlineLevel="0" collapsed="false">
      <c r="B16" s="73" t="s">
        <v>31</v>
      </c>
      <c r="C16" s="16" t="s">
        <v>137</v>
      </c>
      <c r="D16" s="16"/>
      <c r="E16" s="76" t="s">
        <v>138</v>
      </c>
      <c r="F16" s="105" t="n">
        <v>6</v>
      </c>
    </row>
    <row r="17" s="71" customFormat="true" ht="16.5" hidden="false" customHeight="false" outlineLevel="0" collapsed="false">
      <c r="B17" s="73" t="s">
        <v>34</v>
      </c>
      <c r="C17" s="13" t="s">
        <v>139</v>
      </c>
      <c r="D17" s="13"/>
      <c r="E17" s="36" t="s">
        <v>138</v>
      </c>
      <c r="F17" s="106" t="n">
        <v>21</v>
      </c>
    </row>
    <row r="18" s="71" customFormat="true" ht="16.5" hidden="false" customHeight="false" outlineLevel="0" collapsed="false"/>
    <row r="19" s="6" customFormat="true" ht="16.5" hidden="false" customHeight="false" outlineLevel="0" collapsed="false">
      <c r="A19" s="71"/>
      <c r="B19" s="64" t="s">
        <v>140</v>
      </c>
      <c r="C19" s="81"/>
      <c r="D19" s="40"/>
      <c r="E19" s="82"/>
      <c r="F19" s="82"/>
    </row>
    <row r="20" s="6" customFormat="true" ht="16.5" hidden="false" customHeight="false" outlineLevel="0" collapsed="false">
      <c r="A20" s="71"/>
      <c r="B20" s="27" t="n">
        <v>3</v>
      </c>
      <c r="C20" s="93" t="s">
        <v>141</v>
      </c>
      <c r="D20" s="93"/>
      <c r="E20" s="93"/>
      <c r="F20" s="15" t="s">
        <v>142</v>
      </c>
    </row>
    <row r="21" s="6" customFormat="true" ht="16.5" hidden="false" customHeight="true" outlineLevel="0" collapsed="false">
      <c r="A21" s="71"/>
      <c r="B21" s="27" t="s">
        <v>31</v>
      </c>
      <c r="C21" s="94" t="s">
        <v>143</v>
      </c>
      <c r="D21" s="94"/>
      <c r="E21" s="94"/>
      <c r="F21" s="107" t="n">
        <v>56.24</v>
      </c>
    </row>
    <row r="22" customFormat="false" ht="16.5" hidden="false" customHeight="false" outlineLevel="0" collapsed="false">
      <c r="A22" s="71"/>
      <c r="B22" s="15" t="s">
        <v>34</v>
      </c>
      <c r="C22" s="108" t="s">
        <v>144</v>
      </c>
      <c r="D22" s="108"/>
      <c r="E22" s="108"/>
      <c r="F22" s="109" t="n">
        <v>5.55</v>
      </c>
    </row>
    <row r="23" s="6" customFormat="true" ht="15.75" hidden="false" customHeight="true" outlineLevel="0" collapsed="false">
      <c r="B23" s="15" t="s">
        <v>37</v>
      </c>
      <c r="C23" s="94" t="s">
        <v>145</v>
      </c>
      <c r="D23" s="94"/>
      <c r="E23" s="94"/>
      <c r="F23" s="106" t="n">
        <v>40</v>
      </c>
    </row>
    <row r="24" customFormat="false" ht="16.5" hidden="false" customHeight="true" outlineLevel="0" collapsed="false">
      <c r="A24" s="71"/>
      <c r="B24" s="15" t="s">
        <v>41</v>
      </c>
      <c r="C24" s="108" t="s">
        <v>146</v>
      </c>
      <c r="D24" s="108"/>
      <c r="E24" s="108"/>
      <c r="F24" s="109" t="n">
        <v>94.45</v>
      </c>
    </row>
    <row r="25" customFormat="false" ht="16.5" hidden="false" customHeight="true" outlineLevel="0" collapsed="false">
      <c r="A25" s="71"/>
      <c r="B25" s="15" t="s">
        <v>44</v>
      </c>
      <c r="C25" s="94" t="s">
        <v>147</v>
      </c>
      <c r="D25" s="94"/>
      <c r="E25" s="94"/>
      <c r="F25" s="110" t="n">
        <v>30</v>
      </c>
    </row>
    <row r="26" s="71" customFormat="true" ht="16.5" hidden="false" customHeight="false" outlineLevel="0" collapsed="false"/>
    <row r="27" s="6" customFormat="true" ht="16.5" hidden="false" customHeight="false" outlineLevel="0" collapsed="false">
      <c r="B27" s="64" t="s">
        <v>99</v>
      </c>
      <c r="C27" s="81"/>
      <c r="D27" s="40"/>
      <c r="E27" s="1"/>
      <c r="F27" s="1"/>
    </row>
    <row r="28" s="6" customFormat="true" ht="15" hidden="false" customHeight="true" outlineLevel="0" collapsed="false">
      <c r="B28" s="64" t="s">
        <v>100</v>
      </c>
      <c r="C28" s="81"/>
      <c r="D28" s="40"/>
      <c r="E28" s="82"/>
      <c r="F28" s="82"/>
    </row>
    <row r="29" s="6" customFormat="true" ht="16.5" hidden="false" customHeight="true" outlineLevel="0" collapsed="false">
      <c r="B29" s="27" t="s">
        <v>101</v>
      </c>
      <c r="C29" s="66" t="s">
        <v>102</v>
      </c>
      <c r="D29" s="66"/>
      <c r="E29" s="66"/>
      <c r="F29" s="15" t="s">
        <v>142</v>
      </c>
    </row>
    <row r="30" s="6" customFormat="true" ht="16.5" hidden="false" customHeight="true" outlineLevel="0" collapsed="false">
      <c r="B30" s="27" t="s">
        <v>31</v>
      </c>
      <c r="C30" s="94" t="s">
        <v>148</v>
      </c>
      <c r="D30" s="94"/>
      <c r="E30" s="94"/>
      <c r="F30" s="106" t="n">
        <v>8</v>
      </c>
    </row>
    <row r="31" customFormat="false" ht="16.5" hidden="false" customHeight="true" outlineLevel="0" collapsed="false">
      <c r="A31" s="6"/>
      <c r="B31" s="15" t="s">
        <v>34</v>
      </c>
      <c r="C31" s="34" t="s">
        <v>149</v>
      </c>
      <c r="D31" s="34"/>
      <c r="E31" s="34"/>
      <c r="F31" s="105" t="n">
        <v>5</v>
      </c>
    </row>
    <row r="32" customFormat="false" ht="16.5" hidden="false" customHeight="true" outlineLevel="0" collapsed="false">
      <c r="A32" s="6"/>
      <c r="B32" s="15" t="s">
        <v>37</v>
      </c>
      <c r="C32" s="94" t="s">
        <v>150</v>
      </c>
      <c r="D32" s="94"/>
      <c r="E32" s="94"/>
      <c r="F32" s="107" t="n">
        <v>1.42</v>
      </c>
    </row>
    <row r="33" customFormat="false" ht="16.5" hidden="false" customHeight="true" outlineLevel="0" collapsed="false">
      <c r="A33" s="6"/>
      <c r="B33" s="15" t="s">
        <v>41</v>
      </c>
      <c r="C33" s="34" t="s">
        <v>151</v>
      </c>
      <c r="D33" s="34"/>
      <c r="E33" s="34"/>
      <c r="F33" s="109" t="n">
        <v>45.22</v>
      </c>
    </row>
    <row r="34" s="6" customFormat="true" ht="15.75" hidden="false" customHeight="true" outlineLevel="0" collapsed="false">
      <c r="A34" s="1"/>
      <c r="B34" s="15" t="s">
        <v>44</v>
      </c>
      <c r="C34" s="94" t="s">
        <v>152</v>
      </c>
      <c r="D34" s="94"/>
      <c r="E34" s="94"/>
      <c r="F34" s="107" t="n">
        <f aca="false">(154800/34808000)*100</f>
        <v>0.44</v>
      </c>
    </row>
    <row r="35" customFormat="false" ht="15.75" hidden="false" customHeight="true" outlineLevel="0" collapsed="false">
      <c r="A35" s="6"/>
      <c r="B35" s="15" t="s">
        <v>97</v>
      </c>
      <c r="C35" s="34" t="s">
        <v>153</v>
      </c>
      <c r="D35" s="34"/>
      <c r="E35" s="34"/>
      <c r="F35" s="105" t="n">
        <v>15</v>
      </c>
    </row>
    <row r="36" customFormat="false" ht="15.75" hidden="false" customHeight="true" outlineLevel="0" collapsed="false">
      <c r="A36" s="6"/>
      <c r="B36" s="15" t="s">
        <v>132</v>
      </c>
      <c r="C36" s="94" t="s">
        <v>154</v>
      </c>
      <c r="D36" s="94"/>
      <c r="E36" s="94"/>
      <c r="F36" s="106" t="n">
        <v>120</v>
      </c>
    </row>
    <row r="37" customFormat="false" ht="16.5" hidden="false" customHeight="true" outlineLevel="0" collapsed="false">
      <c r="A37" s="6"/>
      <c r="B37" s="15" t="s">
        <v>134</v>
      </c>
      <c r="C37" s="34" t="s">
        <v>155</v>
      </c>
      <c r="D37" s="34"/>
      <c r="E37" s="34"/>
      <c r="F37" s="109" t="n">
        <v>54.78</v>
      </c>
    </row>
    <row r="38" s="71" customFormat="true" ht="16.5" hidden="false" customHeight="false" outlineLevel="0" collapsed="false"/>
    <row r="39" customFormat="false" ht="17.35" hidden="false" customHeight="false" outlineLevel="0" collapsed="false">
      <c r="B39" s="97" t="s">
        <v>122</v>
      </c>
      <c r="C39" s="98"/>
      <c r="D39" s="98"/>
      <c r="E39" s="98"/>
      <c r="F39" s="99"/>
    </row>
    <row r="40" customFormat="false" ht="33.75" hidden="false" customHeight="true" outlineLevel="0" collapsed="false">
      <c r="B40" s="100" t="s">
        <v>123</v>
      </c>
      <c r="C40" s="100"/>
      <c r="D40" s="100"/>
      <c r="E40" s="100"/>
      <c r="F40" s="100"/>
    </row>
  </sheetData>
  <sheetProtection sheet="true" objects="true" scenarios="true"/>
  <mergeCells count="28"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5:D15"/>
    <mergeCell ref="C16:D16"/>
    <mergeCell ref="C17:D17"/>
    <mergeCell ref="C20:E20"/>
    <mergeCell ref="C21:E21"/>
    <mergeCell ref="C22:E22"/>
    <mergeCell ref="C23:E23"/>
    <mergeCell ref="C24:E24"/>
    <mergeCell ref="C25:E25"/>
    <mergeCell ref="C29:E29"/>
    <mergeCell ref="C30:E30"/>
    <mergeCell ref="C31:E31"/>
    <mergeCell ref="C32:E32"/>
    <mergeCell ref="C33:E33"/>
    <mergeCell ref="C34:E34"/>
    <mergeCell ref="C35:E35"/>
    <mergeCell ref="C36:E36"/>
    <mergeCell ref="C37:E37"/>
    <mergeCell ref="B40:F40"/>
  </mergeCells>
  <printOptions headings="false" gridLines="false" gridLinesSet="true" horizontalCentered="false" verticalCentered="false"/>
  <pageMargins left="0.170138888888889" right="0.170138888888889" top="0.3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F3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1" activeCellId="0" sqref="E11"/>
    </sheetView>
  </sheetViews>
  <sheetFormatPr defaultColWidth="9.1484375" defaultRowHeight="16.5" zeroHeight="false" outlineLevelRow="0" outlineLevelCol="0"/>
  <cols>
    <col collapsed="false" customWidth="true" hidden="false" outlineLevel="0" max="1" min="1" style="1" width="2.71"/>
    <col collapsed="false" customWidth="true" hidden="false" outlineLevel="0" max="2" min="2" style="1" width="8.86"/>
    <col collapsed="false" customWidth="true" hidden="false" outlineLevel="0" max="3" min="3" style="1" width="52.57"/>
    <col collapsed="false" customWidth="true" hidden="false" outlineLevel="0" max="4" min="4" style="1" width="22"/>
    <col collapsed="false" customWidth="true" hidden="false" outlineLevel="0" max="5" min="5" style="1" width="7"/>
    <col collapsed="false" customWidth="true" hidden="false" outlineLevel="0" max="6" min="6" style="1" width="45"/>
    <col collapsed="false" customWidth="false" hidden="false" outlineLevel="0" max="16384" min="7" style="1" width="9.14"/>
  </cols>
  <sheetData>
    <row r="1" s="6" customFormat="true" ht="19.7" hidden="false" customHeight="false" outlineLevel="0" collapsed="false">
      <c r="B1" s="63" t="s">
        <v>156</v>
      </c>
      <c r="C1" s="1"/>
      <c r="D1" s="1"/>
      <c r="E1" s="1"/>
      <c r="F1" s="1"/>
    </row>
    <row r="2" customFormat="false" ht="16.5" hidden="false" customHeight="false" outlineLevel="0" collapsed="false">
      <c r="B2" s="64" t="s">
        <v>81</v>
      </c>
      <c r="E2" s="72"/>
    </row>
    <row r="3" customFormat="false" ht="16.5" hidden="false" customHeight="false" outlineLevel="0" collapsed="false">
      <c r="B3" s="64" t="s">
        <v>157</v>
      </c>
      <c r="C3" s="81"/>
      <c r="D3" s="40"/>
      <c r="E3" s="82"/>
    </row>
    <row r="4" customFormat="false" ht="16.5" hidden="false" customHeight="false" outlineLevel="0" collapsed="false">
      <c r="B4" s="27" t="s">
        <v>158</v>
      </c>
      <c r="C4" s="93" t="s">
        <v>159</v>
      </c>
      <c r="D4" s="93"/>
      <c r="E4" s="15" t="s">
        <v>103</v>
      </c>
      <c r="F4" s="15" t="s">
        <v>160</v>
      </c>
    </row>
    <row r="5" customFormat="false" ht="16.5" hidden="false" customHeight="true" outlineLevel="0" collapsed="false">
      <c r="B5" s="27" t="s">
        <v>31</v>
      </c>
      <c r="C5" s="94" t="s">
        <v>161</v>
      </c>
      <c r="D5" s="94"/>
      <c r="E5" s="111" t="n">
        <f aca="false">(1/MESES_NO_ANO)*100</f>
        <v>8.33</v>
      </c>
      <c r="F5" s="112" t="s">
        <v>162</v>
      </c>
    </row>
    <row r="6" customFormat="false" ht="16.5" hidden="false" customHeight="true" outlineLevel="0" collapsed="false">
      <c r="B6" s="15" t="s">
        <v>34</v>
      </c>
      <c r="C6" s="34" t="s">
        <v>163</v>
      </c>
      <c r="D6" s="34"/>
      <c r="E6" s="113" t="n">
        <f aca="false">(1/3)/MESES_NO_ANO*100</f>
        <v>2.78</v>
      </c>
      <c r="F6" s="113" t="s">
        <v>164</v>
      </c>
    </row>
    <row r="7" s="71" customFormat="true" ht="16.5" hidden="false" customHeight="true" outlineLevel="0" collapsed="false">
      <c r="B7" s="114" t="s">
        <v>165</v>
      </c>
      <c r="C7" s="114"/>
      <c r="D7" s="114"/>
      <c r="E7" s="114"/>
      <c r="F7" s="114"/>
    </row>
    <row r="8" s="71" customFormat="true" ht="34.5" hidden="false" customHeight="true" outlineLevel="0" collapsed="false">
      <c r="B8" s="27" t="s">
        <v>83</v>
      </c>
      <c r="C8" s="115" t="s">
        <v>166</v>
      </c>
      <c r="D8" s="115"/>
      <c r="E8" s="15" t="s">
        <v>103</v>
      </c>
    </row>
    <row r="9" customFormat="false" ht="16.5" hidden="false" customHeight="true" outlineLevel="0" collapsed="false">
      <c r="B9" s="27" t="s">
        <v>31</v>
      </c>
      <c r="C9" s="94" t="s">
        <v>167</v>
      </c>
      <c r="D9" s="94"/>
      <c r="E9" s="111" t="n">
        <v>20</v>
      </c>
    </row>
    <row r="10" s="6" customFormat="true" ht="16.5" hidden="false" customHeight="true" outlineLevel="0" collapsed="false">
      <c r="B10" s="15" t="s">
        <v>34</v>
      </c>
      <c r="C10" s="34" t="s">
        <v>168</v>
      </c>
      <c r="D10" s="34"/>
      <c r="E10" s="113" t="n">
        <v>2.5</v>
      </c>
    </row>
    <row r="11" s="6" customFormat="true" ht="16.5" hidden="false" customHeight="true" outlineLevel="0" collapsed="false">
      <c r="B11" s="15" t="s">
        <v>37</v>
      </c>
      <c r="C11" s="94" t="s">
        <v>169</v>
      </c>
      <c r="D11" s="94"/>
      <c r="E11" s="111" t="n">
        <f aca="false">IF(FAP&lt;&gt;"",3*FAP,3)</f>
        <v>3</v>
      </c>
    </row>
    <row r="12" s="6" customFormat="true" ht="16.5" hidden="false" customHeight="true" outlineLevel="0" collapsed="false">
      <c r="B12" s="15" t="s">
        <v>41</v>
      </c>
      <c r="C12" s="34" t="s">
        <v>170</v>
      </c>
      <c r="D12" s="34"/>
      <c r="E12" s="113" t="n">
        <v>1.5</v>
      </c>
    </row>
    <row r="13" s="6" customFormat="true" ht="16.5" hidden="false" customHeight="true" outlineLevel="0" collapsed="false">
      <c r="B13" s="15" t="s">
        <v>44</v>
      </c>
      <c r="C13" s="94" t="s">
        <v>171</v>
      </c>
      <c r="D13" s="94"/>
      <c r="E13" s="111" t="n">
        <v>1</v>
      </c>
      <c r="F13" s="1"/>
    </row>
    <row r="14" s="6" customFormat="true" ht="16.5" hidden="false" customHeight="true" outlineLevel="0" collapsed="false">
      <c r="B14" s="15" t="s">
        <v>97</v>
      </c>
      <c r="C14" s="34" t="s">
        <v>172</v>
      </c>
      <c r="D14" s="34"/>
      <c r="E14" s="113" t="n">
        <v>0.6</v>
      </c>
    </row>
    <row r="15" s="6" customFormat="true" ht="16.5" hidden="false" customHeight="true" outlineLevel="0" collapsed="false">
      <c r="B15" s="15" t="s">
        <v>132</v>
      </c>
      <c r="C15" s="94" t="s">
        <v>173</v>
      </c>
      <c r="D15" s="94"/>
      <c r="E15" s="111" t="n">
        <v>0.2</v>
      </c>
    </row>
    <row r="16" customFormat="false" ht="16.5" hidden="false" customHeight="true" outlineLevel="0" collapsed="false">
      <c r="B16" s="15" t="s">
        <v>134</v>
      </c>
      <c r="C16" s="34" t="s">
        <v>174</v>
      </c>
      <c r="D16" s="34"/>
      <c r="E16" s="113" t="n">
        <v>8</v>
      </c>
    </row>
    <row r="17" customFormat="false" ht="16.5" hidden="false" customHeight="false" outlineLevel="0" collapsed="false">
      <c r="B17" s="93" t="s">
        <v>15</v>
      </c>
      <c r="C17" s="93"/>
      <c r="D17" s="93"/>
      <c r="E17" s="116" t="n">
        <f aca="false">SUM(E9:E16)</f>
        <v>36.8</v>
      </c>
    </row>
    <row r="18" s="71" customFormat="true" ht="16.5" hidden="false" customHeight="false" outlineLevel="0" collapsed="false">
      <c r="B18" s="64" t="s">
        <v>140</v>
      </c>
      <c r="C18" s="81"/>
      <c r="D18" s="40"/>
      <c r="E18" s="82"/>
    </row>
    <row r="19" s="71" customFormat="true" ht="15" hidden="false" customHeight="true" outlineLevel="0" collapsed="false">
      <c r="B19" s="27" t="n">
        <v>3</v>
      </c>
      <c r="C19" s="93" t="s">
        <v>141</v>
      </c>
      <c r="D19" s="93"/>
      <c r="E19" s="15" t="s">
        <v>103</v>
      </c>
      <c r="F19" s="15" t="s">
        <v>160</v>
      </c>
    </row>
    <row r="20" s="71" customFormat="true" ht="16.5" hidden="false" customHeight="false" outlineLevel="0" collapsed="false">
      <c r="B20" s="27" t="s">
        <v>31</v>
      </c>
      <c r="C20" s="117" t="s">
        <v>175</v>
      </c>
      <c r="D20" s="117"/>
      <c r="E20" s="111" t="n">
        <f aca="false">PERC_EMPREG_DEMIT_SEM_JUSTA_CAUSA_TOTAL_DESLIG%*PERC_EMPREG_AVISO_PREVIO_IND%*1/MESES_NO_ANO*100</f>
        <v>0.26</v>
      </c>
      <c r="F20" s="112" t="s">
        <v>176</v>
      </c>
    </row>
    <row r="21" s="71" customFormat="true" ht="16.5" hidden="false" customHeight="false" outlineLevel="0" collapsed="false">
      <c r="B21" s="15" t="s">
        <v>34</v>
      </c>
      <c r="C21" s="118" t="s">
        <v>177</v>
      </c>
      <c r="D21" s="118"/>
      <c r="E21" s="113" t="n">
        <f aca="false">PERC_AVISO_PREVIO_IND%*PERC_FGTS%*100</f>
        <v>0.02</v>
      </c>
      <c r="F21" s="113" t="s">
        <v>178</v>
      </c>
    </row>
    <row r="22" s="6" customFormat="true" ht="16.5" hidden="false" customHeight="true" outlineLevel="0" collapsed="false">
      <c r="B22" s="15" t="s">
        <v>37</v>
      </c>
      <c r="C22" s="119" t="s">
        <v>179</v>
      </c>
      <c r="D22" s="119"/>
      <c r="E22" s="111" t="n">
        <f aca="false">PERC_EMPREG_DEMIT_SEM_JUSTA_CAUSA_TOTAL_DESLIG%*PERC_EMPREG_AVISO_PREVIO_IND%*(PERC_MULTA_FGTS%)*PERC_FGTS%*100</f>
        <v>0.1</v>
      </c>
      <c r="F22" s="112" t="s">
        <v>180</v>
      </c>
    </row>
    <row r="23" s="71" customFormat="true" ht="16.5" hidden="false" customHeight="false" outlineLevel="0" collapsed="false">
      <c r="B23" s="15" t="s">
        <v>41</v>
      </c>
      <c r="C23" s="118" t="s">
        <v>181</v>
      </c>
      <c r="D23" s="118"/>
      <c r="E23" s="113" t="n">
        <f aca="false">PERC_EMPREG_DEMIT_SEM_JUSTA_CAUSA_TOTAL_DESLIG%*PERC_EMPREG_AVISO_PREVIO_TRAB%*(DIAS_NA_SEMANA/DIAS_NO_MES)/MESES_NO_ANO*100</f>
        <v>1.03</v>
      </c>
      <c r="F23" s="113" t="s">
        <v>182</v>
      </c>
    </row>
    <row r="24" s="71" customFormat="true" ht="16.5" hidden="false" customHeight="false" outlineLevel="0" collapsed="false">
      <c r="B24" s="15" t="s">
        <v>44</v>
      </c>
      <c r="C24" s="119" t="s">
        <v>183</v>
      </c>
      <c r="D24" s="119"/>
      <c r="E24" s="111" t="n">
        <f aca="false">PERC_GPS_FGTS%*PERC_AVISO_PREVIO_TRAB%*100</f>
        <v>0.38</v>
      </c>
      <c r="F24" s="112" t="s">
        <v>184</v>
      </c>
    </row>
    <row r="25" s="6" customFormat="true" ht="16.5" hidden="false" customHeight="true" outlineLevel="0" collapsed="false">
      <c r="B25" s="15" t="s">
        <v>97</v>
      </c>
      <c r="C25" s="118" t="s">
        <v>185</v>
      </c>
      <c r="D25" s="118"/>
      <c r="E25" s="113" t="n">
        <f aca="false">PERC_EMPREG_DEMIT_SEM_JUSTA_CAUSA_TOTAL_DESLIG%*PERC_EMPREG_AVISO_PREVIO_TRAB%*(PERC_MULTA_FGTS%)*PERC_FGTS%*100</f>
        <v>1.7</v>
      </c>
      <c r="F25" s="113" t="s">
        <v>186</v>
      </c>
    </row>
    <row r="26" s="6" customFormat="true" ht="15.75" hidden="false" customHeight="true" outlineLevel="0" collapsed="false">
      <c r="B26" s="64" t="s">
        <v>99</v>
      </c>
      <c r="C26" s="81"/>
      <c r="D26" s="40"/>
      <c r="E26" s="1"/>
    </row>
    <row r="27" s="6" customFormat="true" ht="15.75" hidden="false" customHeight="true" outlineLevel="0" collapsed="false">
      <c r="B27" s="64" t="s">
        <v>100</v>
      </c>
      <c r="C27" s="81"/>
      <c r="D27" s="40"/>
      <c r="E27" s="82"/>
    </row>
    <row r="28" s="6" customFormat="true" ht="16.5" hidden="false" customHeight="true" outlineLevel="0" collapsed="false">
      <c r="B28" s="27" t="s">
        <v>101</v>
      </c>
      <c r="C28" s="66" t="s">
        <v>102</v>
      </c>
      <c r="D28" s="66"/>
      <c r="E28" s="15" t="s">
        <v>103</v>
      </c>
      <c r="F28" s="15" t="s">
        <v>160</v>
      </c>
    </row>
    <row r="29" s="6" customFormat="true" ht="15.75" hidden="false" customHeight="true" outlineLevel="0" collapsed="false">
      <c r="B29" s="15" t="s">
        <v>31</v>
      </c>
      <c r="C29" s="94" t="s">
        <v>187</v>
      </c>
      <c r="D29" s="94"/>
      <c r="E29" s="111" t="n">
        <f aca="false">(1/MESES_NO_ANO)*100</f>
        <v>8.33</v>
      </c>
      <c r="F29" s="112" t="s">
        <v>188</v>
      </c>
    </row>
    <row r="30" s="6" customFormat="true" ht="15.75" hidden="false" customHeight="true" outlineLevel="0" collapsed="false">
      <c r="B30" s="15" t="s">
        <v>34</v>
      </c>
      <c r="C30" s="34" t="s">
        <v>189</v>
      </c>
      <c r="D30" s="34"/>
      <c r="E30" s="113" t="n">
        <f aca="false">(DIAS_AUSENCIAS_LEGAIS/DIAS_NO_MES)/MESES_NO_ANO*100</f>
        <v>2.22</v>
      </c>
      <c r="F30" s="113" t="s">
        <v>190</v>
      </c>
    </row>
    <row r="31" s="6" customFormat="true" ht="15.75" hidden="false" customHeight="true" outlineLevel="0" collapsed="false">
      <c r="B31" s="15" t="s">
        <v>37</v>
      </c>
      <c r="C31" s="94" t="s">
        <v>191</v>
      </c>
      <c r="D31" s="94"/>
      <c r="E31" s="111" t="n">
        <f aca="false">(((DIAS_LICENCA_PATERNIDADE/DIAS_NO_MES)/MESES_NO_ANO)*PERC_NASCIDOS_VIVOS_POPUL_FEM%*PERC_PARTIC_MASC_VIGIL%)*100</f>
        <v>0.01</v>
      </c>
      <c r="F31" s="112" t="s">
        <v>192</v>
      </c>
    </row>
    <row r="32" s="6" customFormat="true" ht="16.5" hidden="false" customHeight="true" outlineLevel="0" collapsed="false">
      <c r="B32" s="15" t="s">
        <v>41</v>
      </c>
      <c r="C32" s="34" t="s">
        <v>193</v>
      </c>
      <c r="D32" s="34"/>
      <c r="E32" s="113" t="n">
        <f aca="false">(DIAS_PAGOS_EMPRESA_ACID_TRAB/DIAS_NO_MES)/MESES_NO_ANO*PERC_EMPREG_AFAST_TRAB%*100</f>
        <v>0.02</v>
      </c>
      <c r="F32" s="113" t="s">
        <v>194</v>
      </c>
    </row>
    <row r="33" s="6" customFormat="true" ht="16.5" hidden="false" customHeight="true" outlineLevel="0" collapsed="false">
      <c r="B33" s="15" t="s">
        <v>44</v>
      </c>
      <c r="C33" s="94" t="s">
        <v>195</v>
      </c>
      <c r="D33" s="94"/>
      <c r="E33" s="111" t="n">
        <f aca="false">(((DIAS_LICENCA_MATERNIDADE/DIAS_NO_MES)/MESES_NO_ANO)*PERC_NASCIDOS_VIVOS_POPUL_FEM%*PERC_PARTIC_FEM_VIGIL%*PERC_GPS_FGTS%*100)</f>
        <v>0.1</v>
      </c>
      <c r="F33" s="112" t="s">
        <v>196</v>
      </c>
    </row>
    <row r="34" s="6" customFormat="true" ht="16.5" hidden="false" customHeight="false" outlineLevel="0" collapsed="false">
      <c r="B34" s="15" t="s">
        <v>97</v>
      </c>
      <c r="C34" s="34" t="str">
        <f aca="false">OUTRAS_AUSENCIAS_DESCRICAO</f>
        <v>Outras Ausências (Especificar em %)</v>
      </c>
      <c r="D34" s="34"/>
      <c r="E34" s="113" t="n">
        <f aca="false">PERC_SUBSTITUTO_OUTRAS_AUSENCIAS</f>
        <v>0</v>
      </c>
      <c r="F34" s="113"/>
    </row>
    <row r="36" customFormat="false" ht="17.35" hidden="false" customHeight="false" outlineLevel="0" collapsed="false">
      <c r="B36" s="97" t="s">
        <v>122</v>
      </c>
      <c r="C36" s="98"/>
      <c r="D36" s="98"/>
      <c r="E36" s="98"/>
    </row>
    <row r="37" customFormat="false" ht="43.5" hidden="false" customHeight="true" outlineLevel="0" collapsed="false">
      <c r="B37" s="100" t="s">
        <v>197</v>
      </c>
      <c r="C37" s="100"/>
      <c r="D37" s="100"/>
      <c r="E37" s="100"/>
      <c r="F37" s="100"/>
    </row>
  </sheetData>
  <sheetProtection sheet="true" objects="true" scenarios="true"/>
  <mergeCells count="28">
    <mergeCell ref="C4:D4"/>
    <mergeCell ref="C5:D5"/>
    <mergeCell ref="C6:D6"/>
    <mergeCell ref="B7:F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B17:D17"/>
    <mergeCell ref="C19:D19"/>
    <mergeCell ref="C20:D20"/>
    <mergeCell ref="C21:D21"/>
    <mergeCell ref="C22:D22"/>
    <mergeCell ref="C23:D23"/>
    <mergeCell ref="C24:D24"/>
    <mergeCell ref="C25:D25"/>
    <mergeCell ref="C28:D28"/>
    <mergeCell ref="C29:D29"/>
    <mergeCell ref="C31:D31"/>
    <mergeCell ref="C32:D32"/>
    <mergeCell ref="C33:D33"/>
    <mergeCell ref="C34:D34"/>
    <mergeCell ref="B37:F37"/>
  </mergeCells>
  <dataValidations count="3">
    <dataValidation allowBlank="true" error="O percentual do Aviso Prévio Indenizado deverá ser inferior a 0,64%, conforme determinou o Tribunal de Contas da União por meio do Acórdão nº 1.904/2007 - Plenário." errorStyle="stop" errorTitle="Erro na inserção de dados." operator="between" showDropDown="false" showErrorMessage="true" showInputMessage="true" sqref="E20" type="decimal">
      <formula1>0</formula1>
      <formula2>0.46</formula2>
    </dataValidation>
    <dataValidation allowBlank="true" error="O percentual do Aviso Prévio Indenizado deverá ser inferior a 1,94%, conforme determinou o Tribunal de Contas da União por meio do Acórdão nº 1.904/2007 - Plenário." errorStyle="stop" errorTitle="Erro na inserção de dados." operator="between" showDropDown="false" showErrorMessage="true" showInputMessage="true" sqref="E23:E24" type="decimal">
      <formula1>0</formula1>
      <formula2>1.94</formula2>
    </dataValidation>
    <dataValidation allowBlank="true" error="O percentual do Aviso Prévio Indenizado deverá ser inferior a 0,64%, conforme determinou o Tribunal de Contas da União por meio do Acórdão nº 1.904/2007 - Plenário." errorStyle="stop" errorTitle="Erro na inserção de dados." operator="between" showDropDown="false" showErrorMessage="true" showInputMessage="true" sqref="E22" type="none">
      <formula1>0</formula1>
      <formula2>0</formula2>
    </dataValidation>
  </dataValidations>
  <printOptions headings="false" gridLines="false" gridLinesSet="true" horizontalCentered="false" verticalCentered="false"/>
  <pageMargins left="0.179861111111111" right="0.170138888888889" top="0.140277777777778" bottom="0.0402777777777778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F95"/>
  <sheetViews>
    <sheetView showFormulas="false" showGridLines="true" showRowColHeaders="true" showZeros="true" rightToLeft="false" tabSelected="false" showOutlineSymbols="true" defaultGridColor="true" view="normal" topLeftCell="A59" colorId="64" zoomScale="100" zoomScaleNormal="100" zoomScalePageLayoutView="100" workbookViewId="0">
      <selection pane="topLeft" activeCell="W33" activeCellId="0" sqref="W33"/>
    </sheetView>
  </sheetViews>
  <sheetFormatPr defaultColWidth="9.1484375" defaultRowHeight="16.5" zeroHeight="false" outlineLevelRow="0" outlineLevelCol="0"/>
  <cols>
    <col collapsed="false" customWidth="true" hidden="false" outlineLevel="0" max="1" min="1" style="1" width="2.71"/>
    <col collapsed="false" customWidth="true" hidden="false" outlineLevel="0" max="2" min="2" style="1" width="8.86"/>
    <col collapsed="false" customWidth="true" hidden="false" outlineLevel="0" max="3" min="3" style="1" width="52.57"/>
    <col collapsed="false" customWidth="true" hidden="false" outlineLevel="0" max="4" min="4" style="1" width="7.86"/>
    <col collapsed="false" customWidth="true" hidden="false" outlineLevel="0" max="5" min="5" style="1" width="13.57"/>
    <col collapsed="false" customWidth="true" hidden="false" outlineLevel="0" max="6" min="6" style="1" width="19.71"/>
    <col collapsed="false" customWidth="false" hidden="false" outlineLevel="0" max="16384" min="7" style="1" width="9.14"/>
  </cols>
  <sheetData>
    <row r="1" customFormat="false" ht="17.35" hidden="false" customHeight="false" outlineLevel="0" collapsed="false">
      <c r="B1" s="120" t="str">
        <f aca="false">RAMO</f>
        <v>RAMO: MINISTÉRIO PÚBLICO FEDERAL – MPF</v>
      </c>
      <c r="C1" s="120"/>
      <c r="D1" s="120"/>
      <c r="E1" s="120"/>
      <c r="F1" s="120"/>
    </row>
    <row r="2" customFormat="false" ht="20.25" hidden="false" customHeight="true" outlineLevel="0" collapsed="false">
      <c r="B2" s="121" t="str">
        <f aca="false">UG</f>
        <v>UNIDADE GESTORA (SIGLA): 200090 (PRPE) </v>
      </c>
      <c r="C2" s="121"/>
      <c r="D2" s="121"/>
      <c r="E2" s="122" t="s">
        <v>3</v>
      </c>
      <c r="F2" s="123" t="n">
        <f aca="false">IF(DATA_DO_ORCAMENTO_ESTIMATIVO="","",DATA_DO_ORCAMENTO_ESTIMATIVO)</f>
        <v>45859</v>
      </c>
    </row>
    <row r="3" s="6" customFormat="true" ht="21" hidden="false" customHeight="true" outlineLevel="0" collapsed="false">
      <c r="B3" s="124" t="s">
        <v>198</v>
      </c>
      <c r="C3" s="124"/>
      <c r="D3" s="124"/>
      <c r="E3" s="124"/>
      <c r="F3" s="124"/>
    </row>
    <row r="4" s="6" customFormat="true" ht="15.75" hidden="false" customHeight="true" outlineLevel="0" collapsed="false">
      <c r="B4" s="11" t="s">
        <v>7</v>
      </c>
      <c r="C4" s="11"/>
      <c r="D4" s="11"/>
      <c r="E4" s="11"/>
      <c r="F4" s="11"/>
    </row>
    <row r="5" s="6" customFormat="true" ht="15.75" hidden="false" customHeight="true" outlineLevel="0" collapsed="false">
      <c r="B5" s="13" t="s">
        <v>199</v>
      </c>
      <c r="C5" s="13"/>
      <c r="D5" s="125" t="str">
        <f aca="false">NUMERO_PROCESSO</f>
        <v>X.XX.XXX.XXXXXX/20XX-XX</v>
      </c>
      <c r="E5" s="125"/>
      <c r="F5" s="125"/>
    </row>
    <row r="6" s="6" customFormat="true" ht="15.75" hidden="false" customHeight="true" outlineLevel="0" collapsed="false">
      <c r="B6" s="16" t="s">
        <v>200</v>
      </c>
      <c r="C6" s="16"/>
      <c r="D6" s="126" t="str">
        <f aca="false">MODALIDADE_DE_LICITACAO</f>
        <v>Pregão nº</v>
      </c>
      <c r="E6" s="126"/>
      <c r="F6" s="127" t="str">
        <f aca="false">NUMERO_PREGAO</f>
        <v>XX/20XX</v>
      </c>
    </row>
    <row r="7" s="6" customFormat="true" ht="15.75" hidden="false" customHeight="true" outlineLevel="0" collapsed="false">
      <c r="B7" s="128" t="s">
        <v>201</v>
      </c>
      <c r="C7" s="128"/>
      <c r="D7" s="128"/>
      <c r="E7" s="128"/>
      <c r="F7" s="128"/>
    </row>
    <row r="8" s="6" customFormat="true" ht="18" hidden="false" customHeight="true" outlineLevel="0" collapsed="false">
      <c r="B8" s="28" t="s">
        <v>31</v>
      </c>
      <c r="C8" s="13" t="s">
        <v>32</v>
      </c>
      <c r="D8" s="13"/>
      <c r="E8" s="13"/>
      <c r="F8" s="129" t="str">
        <f aca="false">DATA_APRESENTACAO_PROPOSTA</f>
        <v>XX/XX/20XX</v>
      </c>
    </row>
    <row r="9" s="6" customFormat="true" ht="15.75" hidden="false" customHeight="true" outlineLevel="0" collapsed="false">
      <c r="B9" s="27" t="s">
        <v>34</v>
      </c>
      <c r="C9" s="32" t="s">
        <v>35</v>
      </c>
      <c r="D9" s="108" t="str">
        <f aca="false">IF(LOCAL_DE_EXECUCAO="","",LOCAL_DE_EXECUCAO)</f>
        <v/>
      </c>
      <c r="E9" s="108"/>
      <c r="F9" s="108"/>
    </row>
    <row r="10" s="6" customFormat="true" ht="18.75" hidden="false" customHeight="true" outlineLevel="0" collapsed="false">
      <c r="B10" s="28" t="s">
        <v>37</v>
      </c>
      <c r="C10" s="13" t="s">
        <v>42</v>
      </c>
      <c r="D10" s="13"/>
      <c r="E10" s="13"/>
      <c r="F10" s="130" t="str">
        <f aca="false">ACORDO_COLETIVO</f>
        <v>01/2025</v>
      </c>
    </row>
    <row r="11" s="6" customFormat="true" ht="15.75" hidden="false" customHeight="true" outlineLevel="0" collapsed="false">
      <c r="B11" s="27" t="s">
        <v>41</v>
      </c>
      <c r="C11" s="108" t="s">
        <v>45</v>
      </c>
      <c r="D11" s="108"/>
      <c r="E11" s="108"/>
      <c r="F11" s="76" t="n">
        <f aca="false">NUMERO_MESES_EXEC_CONTRATUAL</f>
        <v>12</v>
      </c>
    </row>
    <row r="12" s="6" customFormat="true" ht="16.5" hidden="false" customHeight="false" outlineLevel="0" collapsed="false">
      <c r="B12" s="27" t="s">
        <v>44</v>
      </c>
      <c r="C12" s="119" t="s">
        <v>202</v>
      </c>
      <c r="D12" s="119"/>
      <c r="E12" s="119"/>
      <c r="F12" s="36" t="str">
        <f aca="false">IF(QTDE_DE_ENC=0,"",QTDE_DE_ENC)</f>
        <v/>
      </c>
    </row>
    <row r="13" s="131" customFormat="true" ht="15" hidden="false" customHeight="true" outlineLevel="0" collapsed="false">
      <c r="B13" s="132" t="s">
        <v>73</v>
      </c>
      <c r="C13" s="133"/>
      <c r="D13" s="133"/>
      <c r="E13" s="133"/>
      <c r="F13" s="133"/>
    </row>
    <row r="14" s="6" customFormat="true" ht="16.5" hidden="false" customHeight="false" outlineLevel="0" collapsed="false">
      <c r="B14" s="28" t="n">
        <v>1</v>
      </c>
      <c r="C14" s="13" t="s">
        <v>67</v>
      </c>
      <c r="D14" s="13"/>
      <c r="E14" s="36" t="str">
        <f aca="false">TIPO_DE_SERVICO</f>
        <v>Limpeza e Conservação</v>
      </c>
      <c r="F14" s="36"/>
    </row>
    <row r="15" s="6" customFormat="true" ht="16.5" hidden="false" customHeight="false" outlineLevel="0" collapsed="false">
      <c r="B15" s="28" t="n">
        <v>2</v>
      </c>
      <c r="C15" s="57" t="s">
        <v>69</v>
      </c>
      <c r="D15" s="134" t="str">
        <f aca="false">CBO</f>
        <v>5143-20</v>
      </c>
      <c r="E15" s="134"/>
      <c r="F15" s="134"/>
    </row>
    <row r="16" s="6" customFormat="true" ht="15" hidden="false" customHeight="true" outlineLevel="0" collapsed="false">
      <c r="B16" s="28" t="n">
        <v>3</v>
      </c>
      <c r="C16" s="135" t="s">
        <v>203</v>
      </c>
      <c r="D16" s="125" t="str">
        <f aca="false">CATEGORIA_PROFISSIONAL_ENC</f>
        <v>Encarregado de Limpeza</v>
      </c>
      <c r="E16" s="125"/>
      <c r="F16" s="125"/>
    </row>
    <row r="17" s="6" customFormat="true" ht="15" hidden="false" customHeight="true" outlineLevel="0" collapsed="false">
      <c r="B17" s="28" t="n">
        <v>4</v>
      </c>
      <c r="C17" s="136" t="s">
        <v>71</v>
      </c>
      <c r="D17" s="136"/>
      <c r="E17" s="136"/>
      <c r="F17" s="137" t="n">
        <f aca="false">DATA_BASE_CATEGORIA</f>
        <v>45658</v>
      </c>
    </row>
    <row r="18" s="138" customFormat="true" ht="20.25" hidden="false" customHeight="true" outlineLevel="0" collapsed="false">
      <c r="B18" s="139" t="s">
        <v>204</v>
      </c>
      <c r="C18" s="139"/>
      <c r="D18" s="139"/>
      <c r="E18" s="139"/>
      <c r="F18" s="139"/>
    </row>
    <row r="19" customFormat="false" ht="16.5" hidden="false" customHeight="false" outlineLevel="0" collapsed="false">
      <c r="B19" s="64" t="s">
        <v>74</v>
      </c>
      <c r="E19" s="65"/>
      <c r="F19" s="65"/>
    </row>
    <row r="20" customFormat="false" ht="16.5" hidden="false" customHeight="true" outlineLevel="0" collapsed="false">
      <c r="B20" s="27" t="n">
        <v>1</v>
      </c>
      <c r="C20" s="66" t="s">
        <v>75</v>
      </c>
      <c r="D20" s="66"/>
      <c r="E20" s="66"/>
      <c r="F20" s="15" t="s">
        <v>107</v>
      </c>
    </row>
    <row r="21" customFormat="false" ht="16.5" hidden="false" customHeight="true" outlineLevel="0" collapsed="false">
      <c r="B21" s="27" t="s">
        <v>31</v>
      </c>
      <c r="C21" s="104" t="s">
        <v>205</v>
      </c>
      <c r="D21" s="104"/>
      <c r="E21" s="104"/>
      <c r="F21" s="140" t="n">
        <f aca="false">SALARIO_NORMATIVO_ENC</f>
        <v>0</v>
      </c>
    </row>
    <row r="22" customFormat="false" ht="16.5" hidden="false" customHeight="true" outlineLevel="0" collapsed="false">
      <c r="B22" s="27" t="s">
        <v>34</v>
      </c>
      <c r="C22" s="34" t="s">
        <v>206</v>
      </c>
      <c r="D22" s="34"/>
      <c r="E22" s="34"/>
      <c r="F22" s="141" t="n">
        <f aca="false">IF(AND(ADIC_INSALUB_ENC="SIM",BC_ADIC_INSALUB="CCT"),PERC_ADIC_INSALUB%*SALARIO_NORMATIVO_ENC,IF(AND(ADIC_INSALUB_ENC="SIM",BC_ADIC_INSALUB="Salário Mínimo"),PERC_ADIC_INSALUB%*SAL_MINIMO,0))</f>
        <v>0</v>
      </c>
    </row>
    <row r="23" customFormat="false" ht="16.5" hidden="false" customHeight="false" outlineLevel="0" collapsed="false">
      <c r="B23" s="27" t="s">
        <v>37</v>
      </c>
      <c r="C23" s="104" t="str">
        <f aca="false">OUTROS_REMUNERACAO_1_DESCRICAO</f>
        <v>Outras Remunerações 1 (Especificar)</v>
      </c>
      <c r="D23" s="104"/>
      <c r="E23" s="104"/>
      <c r="F23" s="140" t="n">
        <f aca="false">OUTROS_REMUNERACAO_1</f>
        <v>0</v>
      </c>
    </row>
    <row r="24" customFormat="false" ht="16.5" hidden="false" customHeight="false" outlineLevel="0" collapsed="false">
      <c r="B24" s="27" t="s">
        <v>41</v>
      </c>
      <c r="C24" s="67" t="str">
        <f aca="false">OUTROS_REMUNERACAO_2_DESCRICAO</f>
        <v>Outras Remunerações 2 (Especificar)</v>
      </c>
      <c r="D24" s="67"/>
      <c r="E24" s="67"/>
      <c r="F24" s="141" t="n">
        <f aca="false">OUTROS_REMUNERACAO_2</f>
        <v>0</v>
      </c>
    </row>
    <row r="25" customFormat="false" ht="16.5" hidden="false" customHeight="false" outlineLevel="0" collapsed="false">
      <c r="B25" s="27" t="s">
        <v>44</v>
      </c>
      <c r="C25" s="104" t="str">
        <f aca="false">OUTROS_REMUNERACAO_3_DESCRICAO</f>
        <v>Outras Remunerações 3 (Especificar)</v>
      </c>
      <c r="D25" s="104"/>
      <c r="E25" s="104"/>
      <c r="F25" s="140" t="n">
        <f aca="false">OUTROS_REMUNERACAO_3</f>
        <v>0</v>
      </c>
    </row>
    <row r="26" customFormat="false" ht="16.5" hidden="false" customHeight="true" outlineLevel="0" collapsed="false">
      <c r="B26" s="66" t="s">
        <v>15</v>
      </c>
      <c r="C26" s="66"/>
      <c r="D26" s="66"/>
      <c r="E26" s="66"/>
      <c r="F26" s="142" t="n">
        <f aca="false">IF(QTDE_DE_ENC=0,0,SUM(F21:F25))</f>
        <v>0</v>
      </c>
    </row>
    <row r="27" customFormat="false" ht="16.5" hidden="false" customHeight="false" outlineLevel="0" collapsed="false">
      <c r="B27" s="64" t="s">
        <v>81</v>
      </c>
      <c r="E27" s="72"/>
      <c r="F27" s="72"/>
    </row>
    <row r="28" customFormat="false" ht="16.5" hidden="false" customHeight="false" outlineLevel="0" collapsed="false">
      <c r="B28" s="64" t="s">
        <v>157</v>
      </c>
      <c r="C28" s="81"/>
      <c r="D28" s="40"/>
      <c r="E28" s="82"/>
      <c r="F28" s="82"/>
    </row>
    <row r="29" customFormat="false" ht="16.5" hidden="false" customHeight="false" outlineLevel="0" collapsed="false">
      <c r="B29" s="27" t="s">
        <v>158</v>
      </c>
      <c r="C29" s="93" t="s">
        <v>159</v>
      </c>
      <c r="D29" s="93"/>
      <c r="E29" s="15" t="s">
        <v>103</v>
      </c>
      <c r="F29" s="15" t="s">
        <v>107</v>
      </c>
    </row>
    <row r="30" customFormat="false" ht="16.5" hidden="false" customHeight="true" outlineLevel="0" collapsed="false">
      <c r="B30" s="27" t="s">
        <v>31</v>
      </c>
      <c r="C30" s="94" t="s">
        <v>161</v>
      </c>
      <c r="D30" s="94"/>
      <c r="E30" s="143" t="n">
        <f aca="false">PERC_DEC_TERC</f>
        <v>8.33</v>
      </c>
      <c r="F30" s="144" t="n">
        <f aca="false">PERC_DEC_TERC%*MOD_1_REMUNERACAO_ENC</f>
        <v>0</v>
      </c>
    </row>
    <row r="31" customFormat="false" ht="16.5" hidden="false" customHeight="true" outlineLevel="0" collapsed="false">
      <c r="B31" s="15" t="s">
        <v>34</v>
      </c>
      <c r="C31" s="34" t="s">
        <v>163</v>
      </c>
      <c r="D31" s="34"/>
      <c r="E31" s="145" t="n">
        <f aca="false">PERC_ADIC_FERIAS</f>
        <v>2.78</v>
      </c>
      <c r="F31" s="146" t="n">
        <f aca="false">PERC_ADIC_FERIAS%*MOD_1_REMUNERACAO_ENC</f>
        <v>0</v>
      </c>
    </row>
    <row r="32" s="71" customFormat="true" ht="16.5" hidden="false" customHeight="false" outlineLevel="0" collapsed="false">
      <c r="B32" s="93" t="s">
        <v>15</v>
      </c>
      <c r="C32" s="93"/>
      <c r="D32" s="93"/>
      <c r="E32" s="93"/>
      <c r="F32" s="147" t="n">
        <f aca="false">IF(QTDE_DE_ENC=0,0,SUM(F30:F31))</f>
        <v>0</v>
      </c>
    </row>
    <row r="33" s="71" customFormat="true" ht="31.5" hidden="false" customHeight="true" outlineLevel="0" collapsed="false">
      <c r="B33" s="148" t="s">
        <v>165</v>
      </c>
      <c r="C33" s="148"/>
      <c r="D33" s="148"/>
      <c r="E33" s="148"/>
      <c r="F33" s="148"/>
    </row>
    <row r="34" s="71" customFormat="true" ht="34.5" hidden="false" customHeight="true" outlineLevel="0" collapsed="false">
      <c r="B34" s="27" t="s">
        <v>83</v>
      </c>
      <c r="C34" s="115" t="s">
        <v>166</v>
      </c>
      <c r="D34" s="115"/>
      <c r="E34" s="15" t="s">
        <v>103</v>
      </c>
      <c r="F34" s="15" t="s">
        <v>107</v>
      </c>
    </row>
    <row r="35" customFormat="false" ht="16.5" hidden="false" customHeight="true" outlineLevel="0" collapsed="false">
      <c r="B35" s="27" t="s">
        <v>31</v>
      </c>
      <c r="C35" s="94" t="s">
        <v>167</v>
      </c>
      <c r="D35" s="94"/>
      <c r="E35" s="143" t="n">
        <f aca="false">PERC_INSS</f>
        <v>20</v>
      </c>
      <c r="F35" s="144" t="n">
        <f aca="false">PERC_INSS%*(MOD_1_REMUNERACAO_ENC+SUBMOD_2_1_DEC_TERC_ADIC_FERIAS_ENC)</f>
        <v>0</v>
      </c>
    </row>
    <row r="36" s="6" customFormat="true" ht="16.5" hidden="false" customHeight="true" outlineLevel="0" collapsed="false">
      <c r="B36" s="15" t="s">
        <v>34</v>
      </c>
      <c r="C36" s="34" t="s">
        <v>168</v>
      </c>
      <c r="D36" s="34"/>
      <c r="E36" s="145" t="n">
        <f aca="false">PERC_SAL_EDUCACAO</f>
        <v>2.5</v>
      </c>
      <c r="F36" s="146" t="n">
        <f aca="false">PERC_SAL_EDUCACAO%*(MOD_1_REMUNERACAO_ENC+SUBMOD_2_1_DEC_TERC_ADIC_FERIAS_ENC)</f>
        <v>0</v>
      </c>
    </row>
    <row r="37" s="6" customFormat="true" ht="16.5" hidden="false" customHeight="true" outlineLevel="0" collapsed="false">
      <c r="B37" s="15" t="s">
        <v>37</v>
      </c>
      <c r="C37" s="94" t="s">
        <v>169</v>
      </c>
      <c r="D37" s="94"/>
      <c r="E37" s="143" t="n">
        <f aca="false">PERC_RAT</f>
        <v>3</v>
      </c>
      <c r="F37" s="144" t="n">
        <f aca="false">PERC_RAT%*(MOD_1_REMUNERACAO_ENC+SUBMOD_2_1_DEC_TERC_ADIC_FERIAS_ENC)</f>
        <v>0</v>
      </c>
    </row>
    <row r="38" s="6" customFormat="true" ht="16.5" hidden="false" customHeight="true" outlineLevel="0" collapsed="false">
      <c r="B38" s="15" t="s">
        <v>41</v>
      </c>
      <c r="C38" s="34" t="s">
        <v>170</v>
      </c>
      <c r="D38" s="34"/>
      <c r="E38" s="145" t="n">
        <f aca="false">PERC_SESC</f>
        <v>1.5</v>
      </c>
      <c r="F38" s="146" t="n">
        <f aca="false">PERC_SESC%*(MOD_1_REMUNERACAO_ENC+SUBMOD_2_1_DEC_TERC_ADIC_FERIAS_ENC)</f>
        <v>0</v>
      </c>
    </row>
    <row r="39" s="6" customFormat="true" ht="16.5" hidden="false" customHeight="true" outlineLevel="0" collapsed="false">
      <c r="B39" s="15" t="s">
        <v>44</v>
      </c>
      <c r="C39" s="94" t="s">
        <v>171</v>
      </c>
      <c r="D39" s="94"/>
      <c r="E39" s="143" t="n">
        <f aca="false">PERC_SENAC</f>
        <v>1</v>
      </c>
      <c r="F39" s="144" t="n">
        <f aca="false">PERC_SENAC%*(MOD_1_REMUNERACAO_ENC+SUBMOD_2_1_DEC_TERC_ADIC_FERIAS_ENC)</f>
        <v>0</v>
      </c>
    </row>
    <row r="40" s="6" customFormat="true" ht="16.5" hidden="false" customHeight="true" outlineLevel="0" collapsed="false">
      <c r="B40" s="15" t="s">
        <v>97</v>
      </c>
      <c r="C40" s="34" t="s">
        <v>172</v>
      </c>
      <c r="D40" s="34"/>
      <c r="E40" s="145" t="n">
        <f aca="false">PERC_SEBRAE</f>
        <v>0.6</v>
      </c>
      <c r="F40" s="146" t="n">
        <f aca="false">PERC_SEBRAE%*(MOD_1_REMUNERACAO_ENC+SUBMOD_2_1_DEC_TERC_ADIC_FERIAS_ENC)</f>
        <v>0</v>
      </c>
    </row>
    <row r="41" s="6" customFormat="true" ht="16.5" hidden="false" customHeight="true" outlineLevel="0" collapsed="false">
      <c r="B41" s="15" t="s">
        <v>132</v>
      </c>
      <c r="C41" s="94" t="s">
        <v>173</v>
      </c>
      <c r="D41" s="94"/>
      <c r="E41" s="143" t="n">
        <f aca="false">PERC_INCRA</f>
        <v>0.2</v>
      </c>
      <c r="F41" s="144" t="n">
        <f aca="false">PERC_INCRA%*(MOD_1_REMUNERACAO_ENC+SUBMOD_2_1_DEC_TERC_ADIC_FERIAS_ENC)</f>
        <v>0</v>
      </c>
    </row>
    <row r="42" customFormat="false" ht="16.5" hidden="false" customHeight="true" outlineLevel="0" collapsed="false">
      <c r="B42" s="15" t="s">
        <v>134</v>
      </c>
      <c r="C42" s="34" t="s">
        <v>174</v>
      </c>
      <c r="D42" s="34"/>
      <c r="E42" s="145" t="n">
        <f aca="false">PERC_FGTS</f>
        <v>8</v>
      </c>
      <c r="F42" s="146" t="n">
        <f aca="false">PERC_FGTS%*(MOD_1_REMUNERACAO_ENC+SUBMOD_2_1_DEC_TERC_ADIC_FERIAS_ENC)</f>
        <v>0</v>
      </c>
    </row>
    <row r="43" customFormat="false" ht="16.5" hidden="false" customHeight="false" outlineLevel="0" collapsed="false">
      <c r="B43" s="93" t="s">
        <v>15</v>
      </c>
      <c r="C43" s="93"/>
      <c r="D43" s="93"/>
      <c r="E43" s="93"/>
      <c r="F43" s="142" t="n">
        <f aca="false">IF(QTDE_DE_ENC=0,0,SUM(F35:F42))</f>
        <v>0</v>
      </c>
    </row>
    <row r="44" customFormat="false" ht="15.75" hidden="false" customHeight="true" outlineLevel="0" collapsed="false">
      <c r="B44" s="64" t="s">
        <v>87</v>
      </c>
      <c r="C44" s="6"/>
      <c r="D44" s="6"/>
      <c r="E44" s="6"/>
      <c r="F44" s="6"/>
    </row>
    <row r="45" customFormat="false" ht="15.75" hidden="false" customHeight="true" outlineLevel="0" collapsed="false">
      <c r="B45" s="27" t="s">
        <v>88</v>
      </c>
      <c r="C45" s="66" t="s">
        <v>89</v>
      </c>
      <c r="D45" s="66"/>
      <c r="E45" s="66"/>
      <c r="F45" s="15" t="s">
        <v>107</v>
      </c>
    </row>
    <row r="46" customFormat="false" ht="16.5" hidden="false" customHeight="true" outlineLevel="0" collapsed="false">
      <c r="B46" s="28" t="s">
        <v>31</v>
      </c>
      <c r="C46" s="94" t="s">
        <v>91</v>
      </c>
      <c r="D46" s="94"/>
      <c r="E46" s="94"/>
      <c r="F46" s="144" t="n">
        <f aca="false">IF(((TRANSPORTE_POR_DIA*DIAS_TRABALHADOS_NO_MES)-(PERC_DESC_TRANSP_REMUNERACAO%*(AL_1_A_SAL_BASE_ENC)))&gt;0,((TRANSPORTE_POR_DIA*DIAS_TRABALHADOS_NO_MES)-(PERC_DESC_TRANSP_REMUNERACAO%*(AL_1_A_SAL_BASE_ENC))),0)</f>
        <v>180.6</v>
      </c>
    </row>
    <row r="47" s="71" customFormat="true" ht="16.5" hidden="false" customHeight="true" outlineLevel="0" collapsed="false">
      <c r="B47" s="28" t="s">
        <v>34</v>
      </c>
      <c r="C47" s="34" t="s">
        <v>93</v>
      </c>
      <c r="D47" s="34"/>
      <c r="E47" s="34"/>
      <c r="F47" s="146" t="n">
        <f aca="false">IF(AND(ADESAO_AO_PAT="Sim",PERC_PAT&lt;&gt;""),ALIMENTACAO_POR_DIA*DIAS_TRABALHADOS_NO_MES*(100-PERC_PAT)%,IF(AND(ADESAO_AO_PAT="Sim",PERC_PAT=""),"Insira o % do PAT",ALIMENTACAO_POR_DIA*DIAS_TRABALHADOS_NO_MES))</f>
        <v>315</v>
      </c>
    </row>
    <row r="48" s="71" customFormat="true" ht="16.5" hidden="false" customHeight="false" outlineLevel="0" collapsed="false">
      <c r="B48" s="28" t="s">
        <v>37</v>
      </c>
      <c r="C48" s="104" t="str">
        <f aca="false">OUTROS_BENEFICIOS_1_DESCRICAO</f>
        <v>Cesta básica (CCT)</v>
      </c>
      <c r="D48" s="104"/>
      <c r="E48" s="104"/>
      <c r="F48" s="144" t="n">
        <f aca="false">OUTROS_BENEFICIOS_1</f>
        <v>142.05</v>
      </c>
    </row>
    <row r="49" s="71" customFormat="true" ht="16.5" hidden="false" customHeight="false" outlineLevel="0" collapsed="false">
      <c r="B49" s="28" t="s">
        <v>41</v>
      </c>
      <c r="C49" s="67" t="str">
        <f aca="false">OUTROS_BENEFICIOS_2_DESCRICAO</f>
        <v>Cobertura social (CCT)</v>
      </c>
      <c r="D49" s="67"/>
      <c r="E49" s="67"/>
      <c r="F49" s="146" t="n">
        <f aca="false">OUTROS_BENEFICIOS_2</f>
        <v>78.59</v>
      </c>
    </row>
    <row r="50" s="71" customFormat="true" ht="16.5" hidden="false" customHeight="false" outlineLevel="0" collapsed="false">
      <c r="B50" s="28" t="s">
        <v>44</v>
      </c>
      <c r="C50" s="104" t="str">
        <f aca="false">OUTROS_BENEFICIOS_3_DESCRICAO</f>
        <v>Outros Benefícios 3 (Especificar)</v>
      </c>
      <c r="D50" s="104"/>
      <c r="E50" s="104"/>
      <c r="F50" s="144" t="n">
        <f aca="false">OUTROS_BENEFICIOS_3</f>
        <v>0</v>
      </c>
    </row>
    <row r="51" s="71" customFormat="true" ht="15" hidden="false" customHeight="true" outlineLevel="0" collapsed="false">
      <c r="B51" s="66" t="s">
        <v>15</v>
      </c>
      <c r="C51" s="66"/>
      <c r="D51" s="66"/>
      <c r="E51" s="66"/>
      <c r="F51" s="142" t="n">
        <f aca="false">IF(QTDE_DE_ENC=0,0,SUM(F46:F50))</f>
        <v>0</v>
      </c>
    </row>
    <row r="52" s="71" customFormat="true" ht="16.5" hidden="false" customHeight="false" outlineLevel="0" collapsed="false">
      <c r="B52" s="64" t="s">
        <v>140</v>
      </c>
      <c r="C52" s="81"/>
      <c r="D52" s="40"/>
      <c r="E52" s="82"/>
      <c r="F52" s="82"/>
    </row>
    <row r="53" s="71" customFormat="true" ht="15" hidden="false" customHeight="true" outlineLevel="0" collapsed="false">
      <c r="B53" s="27" t="n">
        <v>3</v>
      </c>
      <c r="C53" s="93" t="s">
        <v>141</v>
      </c>
      <c r="D53" s="93"/>
      <c r="E53" s="15" t="s">
        <v>103</v>
      </c>
      <c r="F53" s="15" t="s">
        <v>107</v>
      </c>
    </row>
    <row r="54" s="71" customFormat="true" ht="16.5" hidden="false" customHeight="false" outlineLevel="0" collapsed="false">
      <c r="B54" s="27" t="s">
        <v>31</v>
      </c>
      <c r="C54" s="117" t="s">
        <v>175</v>
      </c>
      <c r="D54" s="117"/>
      <c r="E54" s="143" t="n">
        <f aca="false">PERC_AVISO_PREVIO_IND</f>
        <v>0.26</v>
      </c>
      <c r="F54" s="144" t="n">
        <f aca="false">PERC_AVISO_PREVIO_IND%*(MOD_1_REMUNERACAO_ENC+SUBMOD_2_1_DEC_TERC_ADIC_FERIAS_ENC)</f>
        <v>0</v>
      </c>
    </row>
    <row r="55" s="71" customFormat="true" ht="16.5" hidden="false" customHeight="false" outlineLevel="0" collapsed="false">
      <c r="B55" s="15" t="s">
        <v>34</v>
      </c>
      <c r="C55" s="118" t="s">
        <v>177</v>
      </c>
      <c r="D55" s="118"/>
      <c r="E55" s="145" t="n">
        <f aca="false">INCID_FGTS_SOBRE_API</f>
        <v>0.02</v>
      </c>
      <c r="F55" s="146" t="n">
        <f aca="false">INCID_FGTS_SOBRE_API%*(MOD_1_REMUNERACAO_ENC+SUBMOD_2_1_DEC_TERC_ADIC_FERIAS_ENC)</f>
        <v>0</v>
      </c>
    </row>
    <row r="56" s="6" customFormat="true" ht="16.5" hidden="false" customHeight="false" outlineLevel="0" collapsed="false">
      <c r="B56" s="15" t="s">
        <v>37</v>
      </c>
      <c r="C56" s="119" t="s">
        <v>179</v>
      </c>
      <c r="D56" s="119"/>
      <c r="E56" s="143" t="n">
        <f aca="false">PERC_MULTA_FGTS_AV_PREV_IND</f>
        <v>0.1</v>
      </c>
      <c r="F56" s="144" t="n">
        <f aca="false">PERC_MULTA_FGTS_AV_PREV_IND%*(MOD_1_REMUNERACAO_ENC+SUBMOD_2_1_DEC_TERC_ADIC_FERIAS_ENC)</f>
        <v>0</v>
      </c>
    </row>
    <row r="57" s="71" customFormat="true" ht="16.5" hidden="false" customHeight="false" outlineLevel="0" collapsed="false">
      <c r="B57" s="15" t="s">
        <v>41</v>
      </c>
      <c r="C57" s="118" t="s">
        <v>181</v>
      </c>
      <c r="D57" s="118"/>
      <c r="E57" s="145" t="n">
        <f aca="false">PERC_AVISO_PREVIO_TRAB</f>
        <v>1.03</v>
      </c>
      <c r="F57" s="146" t="n">
        <f aca="false">PERC_AVISO_PREVIO_TRAB%*(MOD_1_REMUNERACAO_ENC+SUBMOD_2_1_DEC_TERC_ADIC_FERIAS_ENC)</f>
        <v>0</v>
      </c>
    </row>
    <row r="58" s="71" customFormat="true" ht="16.5" hidden="false" customHeight="true" outlineLevel="0" collapsed="false">
      <c r="B58" s="15" t="s">
        <v>44</v>
      </c>
      <c r="C58" s="119" t="s">
        <v>207</v>
      </c>
      <c r="D58" s="119"/>
      <c r="E58" s="143" t="n">
        <f aca="false">INCID_SUBMOD_2_2_APT</f>
        <v>0.38</v>
      </c>
      <c r="F58" s="144" t="n">
        <f aca="false">INCID_SUBMOD_2_2_APT%*(MOD_1_REMUNERACAO_ENC+SUBMOD_2_1_DEC_TERC_ADIC_FERIAS_ENC)</f>
        <v>0</v>
      </c>
    </row>
    <row r="59" s="6" customFormat="true" ht="16.5" hidden="false" customHeight="false" outlineLevel="0" collapsed="false">
      <c r="B59" s="15" t="s">
        <v>97</v>
      </c>
      <c r="C59" s="118" t="s">
        <v>185</v>
      </c>
      <c r="D59" s="118"/>
      <c r="E59" s="145" t="n">
        <f aca="false">PERC_MULTA_FGTS_AV_PREV_TRAB</f>
        <v>1.7</v>
      </c>
      <c r="F59" s="146" t="n">
        <f aca="false">PERC_MULTA_FGTS_AV_PREV_TRAB%*(MOD_1_REMUNERACAO_ENC+SUBMOD_2_1_DEC_TERC_ADIC_FERIAS_ENC)</f>
        <v>0</v>
      </c>
    </row>
    <row r="60" s="6" customFormat="true" ht="16.5" hidden="false" customHeight="false" outlineLevel="0" collapsed="false">
      <c r="B60" s="93" t="s">
        <v>15</v>
      </c>
      <c r="C60" s="93"/>
      <c r="D60" s="93"/>
      <c r="E60" s="93"/>
      <c r="F60" s="147" t="n">
        <f aca="false">IF(QTDE_DE_ENC=0,0,SUM(F54:F56))</f>
        <v>0</v>
      </c>
    </row>
    <row r="61" s="6" customFormat="true" ht="15.75" hidden="false" customHeight="true" outlineLevel="0" collapsed="false">
      <c r="B61" s="64" t="s">
        <v>99</v>
      </c>
      <c r="C61" s="81"/>
      <c r="D61" s="40"/>
      <c r="E61" s="1"/>
      <c r="F61" s="1"/>
    </row>
    <row r="62" s="6" customFormat="true" ht="15.75" hidden="false" customHeight="true" outlineLevel="0" collapsed="false">
      <c r="B62" s="64" t="s">
        <v>100</v>
      </c>
      <c r="C62" s="81"/>
      <c r="D62" s="40"/>
      <c r="E62" s="82"/>
      <c r="F62" s="82"/>
    </row>
    <row r="63" s="6" customFormat="true" ht="16.5" hidden="false" customHeight="true" outlineLevel="0" collapsed="false">
      <c r="B63" s="27" t="s">
        <v>101</v>
      </c>
      <c r="C63" s="66" t="s">
        <v>102</v>
      </c>
      <c r="D63" s="66"/>
      <c r="E63" s="15" t="s">
        <v>103</v>
      </c>
      <c r="F63" s="15" t="s">
        <v>107</v>
      </c>
    </row>
    <row r="64" s="6" customFormat="true" ht="15.75" hidden="false" customHeight="true" outlineLevel="0" collapsed="false">
      <c r="B64" s="15" t="s">
        <v>31</v>
      </c>
      <c r="C64" s="94" t="s">
        <v>187</v>
      </c>
      <c r="D64" s="94"/>
      <c r="E64" s="143" t="n">
        <f aca="false">PERC_SUBSTITUTO_FERIAS</f>
        <v>8.33</v>
      </c>
      <c r="F64" s="144" t="n">
        <f aca="false">PERC_SUBSTITUTO_FERIAS%*(MOD_1_REMUNERACAO_ENC+MOD_2_ENCARGOS_BENEFICIOS_ENC)</f>
        <v>0</v>
      </c>
    </row>
    <row r="65" s="6" customFormat="true" ht="15.75" hidden="false" customHeight="true" outlineLevel="0" collapsed="false">
      <c r="B65" s="15" t="s">
        <v>34</v>
      </c>
      <c r="C65" s="34" t="s">
        <v>189</v>
      </c>
      <c r="D65" s="34"/>
      <c r="E65" s="145" t="n">
        <f aca="false">PERC_SUBSTITUTO_AUSENCIAS_LEGAIS</f>
        <v>2.22</v>
      </c>
      <c r="F65" s="146" t="n">
        <f aca="false">PERC_SUBSTITUTO_AUSENCIAS_LEGAIS%*(MOD_1_REMUNERACAO_ENC+MOD_2_ENCARGOS_BENEFICIOS_ENC)</f>
        <v>0</v>
      </c>
    </row>
    <row r="66" s="6" customFormat="true" ht="15.75" hidden="false" customHeight="true" outlineLevel="0" collapsed="false">
      <c r="B66" s="15" t="s">
        <v>37</v>
      </c>
      <c r="C66" s="94" t="s">
        <v>191</v>
      </c>
      <c r="D66" s="94"/>
      <c r="E66" s="143" t="n">
        <f aca="false">PERC_SUBSTITUTO_LICENCA_PATERNIDADE</f>
        <v>0.01</v>
      </c>
      <c r="F66" s="144" t="n">
        <f aca="false">PERC_SUBSTITUTO_LICENCA_PATERNIDADE%*(MOD_1_REMUNERACAO_ENC+MOD_2_ENCARGOS_BENEFICIOS_ENC)</f>
        <v>0</v>
      </c>
    </row>
    <row r="67" s="6" customFormat="true" ht="16.5" hidden="false" customHeight="true" outlineLevel="0" collapsed="false">
      <c r="B67" s="15" t="s">
        <v>41</v>
      </c>
      <c r="C67" s="34" t="s">
        <v>193</v>
      </c>
      <c r="D67" s="34"/>
      <c r="E67" s="145" t="n">
        <f aca="false">PERC_SUBSTITUTO_ACID_TRAB</f>
        <v>0.02</v>
      </c>
      <c r="F67" s="146" t="n">
        <f aca="false">PERC_SUBSTITUTO_ACID_TRAB%*(MOD_1_REMUNERACAO_ENC+MOD_2_ENCARGOS_BENEFICIOS_ENC)</f>
        <v>0</v>
      </c>
    </row>
    <row r="68" s="6" customFormat="true" ht="16.5" hidden="false" customHeight="true" outlineLevel="0" collapsed="false">
      <c r="B68" s="15" t="s">
        <v>44</v>
      </c>
      <c r="C68" s="94" t="s">
        <v>195</v>
      </c>
      <c r="D68" s="94"/>
      <c r="E68" s="143" t="n">
        <f aca="false">PERC_SUBSTITUTO_AFAST_MATERN</f>
        <v>0.1</v>
      </c>
      <c r="F68" s="144" t="n">
        <f aca="false">PERC_SUBSTITUTO_AFAST_MATERN%*(MOD_1_REMUNERACAO_ENC+MOD_2_ENCARGOS_BENEFICIOS_ENC)</f>
        <v>0</v>
      </c>
    </row>
    <row r="69" s="6" customFormat="true" ht="16.5" hidden="false" customHeight="false" outlineLevel="0" collapsed="false">
      <c r="B69" s="15" t="s">
        <v>97</v>
      </c>
      <c r="C69" s="149" t="str">
        <f aca="false">OUTRAS_AUSENCIAS_DESCRICAO</f>
        <v>Outras Ausências (Especificar em %)</v>
      </c>
      <c r="D69" s="149"/>
      <c r="E69" s="150" t="n">
        <f aca="false">PERC_SUBSTITUTO_OUTRAS_AUSENCIAS</f>
        <v>0</v>
      </c>
      <c r="F69" s="146" t="n">
        <f aca="false">PERC_SUBSTITUTO_OUTRAS_AUSENCIAS%*(MOD_1_REMUNERACAO_ENC+MOD_2_ENCARGOS_BENEFICIOS_ENC)</f>
        <v>0</v>
      </c>
    </row>
    <row r="70" s="6" customFormat="true" ht="16.5" hidden="false" customHeight="false" outlineLevel="0" collapsed="false">
      <c r="B70" s="93" t="s">
        <v>15</v>
      </c>
      <c r="C70" s="93"/>
      <c r="D70" s="93"/>
      <c r="E70" s="93"/>
      <c r="F70" s="147" t="n">
        <f aca="false">IF(QTDE_DE_ENC=0,0,SUM(F64:F69))</f>
        <v>0</v>
      </c>
    </row>
    <row r="71" customFormat="false" ht="16.5" hidden="false" customHeight="false" outlineLevel="0" collapsed="false">
      <c r="B71" s="64" t="s">
        <v>105</v>
      </c>
      <c r="C71" s="81"/>
      <c r="D71" s="81"/>
      <c r="E71" s="82"/>
      <c r="F71" s="82"/>
    </row>
    <row r="72" customFormat="false" ht="15.75" hidden="false" customHeight="true" outlineLevel="0" collapsed="false">
      <c r="B72" s="84" t="n">
        <v>5</v>
      </c>
      <c r="C72" s="85" t="s">
        <v>106</v>
      </c>
      <c r="D72" s="85"/>
      <c r="E72" s="85"/>
      <c r="F72" s="86" t="s">
        <v>107</v>
      </c>
    </row>
    <row r="73" customFormat="false" ht="16.5" hidden="false" customHeight="true" outlineLevel="0" collapsed="false">
      <c r="B73" s="87" t="s">
        <v>31</v>
      </c>
      <c r="C73" s="88" t="s">
        <v>108</v>
      </c>
      <c r="D73" s="88"/>
      <c r="E73" s="88"/>
      <c r="F73" s="151" t="n">
        <f aca="false">UNIFORMES</f>
        <v>53.33</v>
      </c>
    </row>
    <row r="74" customFormat="false" ht="16.5" hidden="false" customHeight="true" outlineLevel="0" collapsed="false">
      <c r="B74" s="87" t="s">
        <v>34</v>
      </c>
      <c r="C74" s="90" t="s">
        <v>109</v>
      </c>
      <c r="D74" s="90"/>
      <c r="E74" s="90"/>
      <c r="F74" s="152" t="n">
        <f aca="false">MATERIAIS</f>
        <v>19.36</v>
      </c>
    </row>
    <row r="75" customFormat="false" ht="16.5" hidden="false" customHeight="true" outlineLevel="0" collapsed="false">
      <c r="B75" s="87" t="s">
        <v>37</v>
      </c>
      <c r="C75" s="88" t="s">
        <v>110</v>
      </c>
      <c r="D75" s="88"/>
      <c r="E75" s="88"/>
      <c r="F75" s="151" t="n">
        <f aca="false">EQUIPAMENTOS</f>
        <v>17.63</v>
      </c>
    </row>
    <row r="76" customFormat="false" ht="16.5" hidden="false" customHeight="false" outlineLevel="0" collapsed="false">
      <c r="B76" s="87" t="s">
        <v>41</v>
      </c>
      <c r="C76" s="153" t="str">
        <f aca="false">OUTROS_INSUMOS_DESCRICAO</f>
        <v>Outros Insumos (Especificar)</v>
      </c>
      <c r="D76" s="153"/>
      <c r="E76" s="153"/>
      <c r="F76" s="152" t="n">
        <f aca="false">OUTROS_INSUMOS</f>
        <v>0</v>
      </c>
    </row>
    <row r="77" customFormat="false" ht="16.5" hidden="false" customHeight="true" outlineLevel="0" collapsed="false">
      <c r="B77" s="85" t="s">
        <v>15</v>
      </c>
      <c r="C77" s="85"/>
      <c r="D77" s="85"/>
      <c r="E77" s="85"/>
      <c r="F77" s="154" t="n">
        <f aca="false">IF(QTDE_DE_ENC=0,0,SUM(F73:F76))</f>
        <v>0</v>
      </c>
    </row>
    <row r="78" customFormat="false" ht="15" hidden="false" customHeight="true" outlineLevel="0" collapsed="false">
      <c r="B78" s="92" t="s">
        <v>112</v>
      </c>
      <c r="C78" s="92"/>
      <c r="D78" s="92"/>
      <c r="E78" s="92"/>
      <c r="F78" s="92"/>
    </row>
    <row r="79" customFormat="false" ht="16.5" hidden="false" customHeight="false" outlineLevel="0" collapsed="false">
      <c r="B79" s="27" t="n">
        <v>6</v>
      </c>
      <c r="C79" s="93" t="s">
        <v>113</v>
      </c>
      <c r="D79" s="93"/>
      <c r="E79" s="15" t="s">
        <v>103</v>
      </c>
      <c r="F79" s="15" t="s">
        <v>107</v>
      </c>
    </row>
    <row r="80" customFormat="false" ht="16.5" hidden="false" customHeight="true" outlineLevel="0" collapsed="false">
      <c r="B80" s="27" t="s">
        <v>31</v>
      </c>
      <c r="C80" s="94" t="s">
        <v>114</v>
      </c>
      <c r="D80" s="94"/>
      <c r="E80" s="155" t="n">
        <f aca="false">PERC_CUSTOS_INDIRETOS</f>
        <v>4.73</v>
      </c>
      <c r="F80" s="144" t="n">
        <f aca="false">PERC_CUSTOS_INDIRETOS%*(MOD_1_REMUNERACAO_ENC+MOD_2_ENCARGOS_BENEFICIOS_ENC+MOD_3_PROVISAO_RESCISAO_ENC+MOD_4_CUSTO_REPOSICAO_ENC+MOD_5_INSUMOS_ENC)</f>
        <v>0</v>
      </c>
    </row>
    <row r="81" customFormat="false" ht="15.75" hidden="false" customHeight="true" outlineLevel="0" collapsed="false">
      <c r="B81" s="15" t="s">
        <v>34</v>
      </c>
      <c r="C81" s="34" t="s">
        <v>115</v>
      </c>
      <c r="D81" s="34"/>
      <c r="E81" s="156" t="n">
        <f aca="false">PERC_LUCRO</f>
        <v>5.57</v>
      </c>
      <c r="F81" s="146" t="n">
        <f aca="false">PERC_LUCRO%*(MOD_1_REMUNERACAO_ENC+MOD_2_ENCARGOS_BENEFICIOS_ENC+MOD_3_PROVISAO_RESCISAO_ENC+MOD_4_CUSTO_REPOSICAO_ENC+MOD_5_INSUMOS_ENC+AL_6_A_CUSTOS_INDIRETOS_ENC)</f>
        <v>0</v>
      </c>
    </row>
    <row r="82" customFormat="false" ht="16.5" hidden="false" customHeight="true" outlineLevel="0" collapsed="false">
      <c r="B82" s="15" t="s">
        <v>37</v>
      </c>
      <c r="C82" s="94" t="s">
        <v>208</v>
      </c>
      <c r="D82" s="94"/>
      <c r="E82" s="155" t="n">
        <f aca="false">SUM(E83:E85)</f>
        <v>8.65</v>
      </c>
      <c r="F82" s="144" t="n">
        <f aca="false">SUM(F83:F85)</f>
        <v>0</v>
      </c>
    </row>
    <row r="83" customFormat="false" ht="15.75" hidden="false" customHeight="true" outlineLevel="0" collapsed="false">
      <c r="B83" s="96" t="s">
        <v>116</v>
      </c>
      <c r="C83" s="157" t="s">
        <v>117</v>
      </c>
      <c r="D83" s="157"/>
      <c r="E83" s="158" t="n">
        <f aca="false">PERC_PIS</f>
        <v>0.65</v>
      </c>
      <c r="F83" s="159" t="n">
        <f aca="false">((MOD_1_REMUNERACAO_ENC+MOD_2_ENCARGOS_BENEFICIOS_ENC+MOD_3_PROVISAO_RESCISAO_ENC+MOD_4_CUSTO_REPOSICAO_ENC+MOD_5_INSUMOS_ENC+AL_6_A_CUSTOS_INDIRETOS_ENC+AL_6_B_LUCRO_ENC)*PERC_PIS%)/(1-PERC_TRIBUTOS%)</f>
        <v>0</v>
      </c>
    </row>
    <row r="84" customFormat="false" ht="16.5" hidden="false" customHeight="true" outlineLevel="0" collapsed="false">
      <c r="B84" s="96" t="s">
        <v>118</v>
      </c>
      <c r="C84" s="160" t="s">
        <v>119</v>
      </c>
      <c r="D84" s="160"/>
      <c r="E84" s="161" t="n">
        <f aca="false">PERC_COFINS</f>
        <v>3</v>
      </c>
      <c r="F84" s="162" t="n">
        <f aca="false">((MOD_1_REMUNERACAO_ENC+MOD_2_ENCARGOS_BENEFICIOS_ENC+MOD_3_PROVISAO_RESCISAO_ENC+MOD_4_CUSTO_REPOSICAO_ENC+MOD_5_INSUMOS_ENC+AL_6_A_CUSTOS_INDIRETOS_ENC+AL_6_B_LUCRO_ENC)*PERC_COFINS%)/(1-PERC_TRIBUTOS%)</f>
        <v>0</v>
      </c>
    </row>
    <row r="85" s="71" customFormat="true" ht="16.5" hidden="false" customHeight="true" outlineLevel="0" collapsed="false">
      <c r="B85" s="96" t="s">
        <v>120</v>
      </c>
      <c r="C85" s="157" t="s">
        <v>121</v>
      </c>
      <c r="D85" s="157"/>
      <c r="E85" s="158" t="n">
        <f aca="false">PERC_ISS</f>
        <v>5</v>
      </c>
      <c r="F85" s="159" t="n">
        <f aca="false">((MOD_1_REMUNERACAO_ENC+MOD_2_ENCARGOS_BENEFICIOS_ENC+MOD_3_PROVISAO_RESCISAO_ENC+MOD_4_CUSTO_REPOSICAO_ENC+MOD_5_INSUMOS_ENC+AL_6_A_CUSTOS_INDIRETOS_ENC+AL_6_B_LUCRO_ENC)*PERC_ISS%)/(1-PERC_TRIBUTOS%)</f>
        <v>0</v>
      </c>
    </row>
    <row r="86" s="71" customFormat="true" ht="16.5" hidden="false" customHeight="false" outlineLevel="0" collapsed="false">
      <c r="B86" s="93" t="s">
        <v>15</v>
      </c>
      <c r="C86" s="93"/>
      <c r="D86" s="93"/>
      <c r="E86" s="93"/>
      <c r="F86" s="163" t="n">
        <f aca="false">IF(QTDE_DE_ENC=0,0,AL_6_A_CUSTOS_INDIRETOS_ENC+AL_6_B_LUCRO_ENC+AL_6_C_TRIBUTOS_ENC)</f>
        <v>0</v>
      </c>
    </row>
    <row r="87" s="71" customFormat="true" ht="17.35" hidden="false" customHeight="false" outlineLevel="0" collapsed="false">
      <c r="B87" s="164" t="s">
        <v>209</v>
      </c>
      <c r="C87" s="165"/>
      <c r="D87" s="165"/>
      <c r="E87" s="165"/>
      <c r="F87" s="166"/>
    </row>
    <row r="88" s="91" customFormat="true" ht="16.5" hidden="false" customHeight="true" outlineLevel="0" collapsed="false">
      <c r="B88" s="15" t="s">
        <v>210</v>
      </c>
      <c r="C88" s="66" t="s">
        <v>211</v>
      </c>
      <c r="D88" s="66"/>
      <c r="E88" s="66"/>
      <c r="F88" s="15" t="s">
        <v>212</v>
      </c>
    </row>
    <row r="89" s="71" customFormat="true" ht="16.5" hidden="false" customHeight="true" outlineLevel="0" collapsed="false">
      <c r="B89" s="27" t="n">
        <v>1</v>
      </c>
      <c r="C89" s="94" t="s">
        <v>75</v>
      </c>
      <c r="D89" s="94"/>
      <c r="E89" s="94"/>
      <c r="F89" s="144" t="n">
        <f aca="false">MOD_1_REMUNERACAO_ENC</f>
        <v>0</v>
      </c>
    </row>
    <row r="90" customFormat="false" ht="16.5" hidden="false" customHeight="true" outlineLevel="0" collapsed="false">
      <c r="B90" s="15" t="n">
        <v>2</v>
      </c>
      <c r="C90" s="34" t="s">
        <v>213</v>
      </c>
      <c r="D90" s="34"/>
      <c r="E90" s="34"/>
      <c r="F90" s="146" t="n">
        <f aca="false">MOD_2_ENCARGOS_BENEFICIOS_ENC</f>
        <v>0</v>
      </c>
    </row>
    <row r="91" customFormat="false" ht="16.5" hidden="false" customHeight="true" outlineLevel="0" collapsed="false">
      <c r="B91" s="15" t="n">
        <v>3</v>
      </c>
      <c r="C91" s="94" t="s">
        <v>141</v>
      </c>
      <c r="D91" s="94"/>
      <c r="E91" s="94"/>
      <c r="F91" s="144" t="n">
        <f aca="false">MOD_3_PROVISAO_RESCISAO_ENC</f>
        <v>0</v>
      </c>
    </row>
    <row r="92" customFormat="false" ht="16.5" hidden="false" customHeight="true" outlineLevel="0" collapsed="false">
      <c r="B92" s="15" t="n">
        <v>4</v>
      </c>
      <c r="C92" s="34" t="s">
        <v>214</v>
      </c>
      <c r="D92" s="34"/>
      <c r="E92" s="34"/>
      <c r="F92" s="146" t="n">
        <f aca="false">MOD_4_CUSTO_REPOSICAO_ENC</f>
        <v>0</v>
      </c>
    </row>
    <row r="93" customFormat="false" ht="16.5" hidden="false" customHeight="true" outlineLevel="0" collapsed="false">
      <c r="B93" s="15" t="n">
        <v>5</v>
      </c>
      <c r="C93" s="94" t="s">
        <v>106</v>
      </c>
      <c r="D93" s="94"/>
      <c r="E93" s="94"/>
      <c r="F93" s="144" t="n">
        <f aca="false">MOD_5_INSUMOS_ENC</f>
        <v>0</v>
      </c>
    </row>
    <row r="94" customFormat="false" ht="16.5" hidden="false" customHeight="true" outlineLevel="0" collapsed="false">
      <c r="B94" s="15" t="n">
        <v>6</v>
      </c>
      <c r="C94" s="34" t="s">
        <v>113</v>
      </c>
      <c r="D94" s="34"/>
      <c r="E94" s="34"/>
      <c r="F94" s="146" t="n">
        <f aca="false">MOD_6_CUSTOS_IND_LUCRO_TRIB_ENC</f>
        <v>0</v>
      </c>
    </row>
    <row r="95" customFormat="false" ht="16.5" hidden="false" customHeight="true" outlineLevel="0" collapsed="false">
      <c r="B95" s="66" t="s">
        <v>215</v>
      </c>
      <c r="C95" s="66"/>
      <c r="D95" s="66"/>
      <c r="E95" s="66"/>
      <c r="F95" s="163" t="n">
        <f aca="false">IF(QTDE_DE_ENC=0,0,SUM(F89:F94))</f>
        <v>0</v>
      </c>
    </row>
  </sheetData>
  <sheetProtection sheet="true" objects="true" scenarios="true"/>
  <mergeCells count="88">
    <mergeCell ref="B1:F1"/>
    <mergeCell ref="B2:D2"/>
    <mergeCell ref="B3:F3"/>
    <mergeCell ref="B4:F4"/>
    <mergeCell ref="B5:C5"/>
    <mergeCell ref="D5:F5"/>
    <mergeCell ref="B6:C6"/>
    <mergeCell ref="D6:E6"/>
    <mergeCell ref="B7:F7"/>
    <mergeCell ref="C8:E8"/>
    <mergeCell ref="D9:F9"/>
    <mergeCell ref="C10:E10"/>
    <mergeCell ref="C11:E11"/>
    <mergeCell ref="C12:E12"/>
    <mergeCell ref="C14:D14"/>
    <mergeCell ref="E14:F14"/>
    <mergeCell ref="D15:F15"/>
    <mergeCell ref="D16:F16"/>
    <mergeCell ref="C17:E17"/>
    <mergeCell ref="B18:F18"/>
    <mergeCell ref="C20:E20"/>
    <mergeCell ref="C21:E21"/>
    <mergeCell ref="C22:E22"/>
    <mergeCell ref="C23:E23"/>
    <mergeCell ref="C24:E24"/>
    <mergeCell ref="C25:E25"/>
    <mergeCell ref="B26:E26"/>
    <mergeCell ref="C29:D29"/>
    <mergeCell ref="C30:D30"/>
    <mergeCell ref="C31:D31"/>
    <mergeCell ref="B32:E32"/>
    <mergeCell ref="B33:F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B43:E43"/>
    <mergeCell ref="C45:E45"/>
    <mergeCell ref="C46:E46"/>
    <mergeCell ref="C47:E47"/>
    <mergeCell ref="C48:E48"/>
    <mergeCell ref="C49:E49"/>
    <mergeCell ref="C50:E50"/>
    <mergeCell ref="B51:E51"/>
    <mergeCell ref="C53:D53"/>
    <mergeCell ref="C54:D54"/>
    <mergeCell ref="C55:D55"/>
    <mergeCell ref="C56:D56"/>
    <mergeCell ref="C57:D57"/>
    <mergeCell ref="C58:D58"/>
    <mergeCell ref="C59:D59"/>
    <mergeCell ref="B60:E60"/>
    <mergeCell ref="C63:D63"/>
    <mergeCell ref="C64:D64"/>
    <mergeCell ref="C65:D65"/>
    <mergeCell ref="C66:D66"/>
    <mergeCell ref="C67:D67"/>
    <mergeCell ref="C68:D68"/>
    <mergeCell ref="C69:D69"/>
    <mergeCell ref="B70:E70"/>
    <mergeCell ref="C72:E72"/>
    <mergeCell ref="C73:E73"/>
    <mergeCell ref="C74:E74"/>
    <mergeCell ref="C75:E75"/>
    <mergeCell ref="C76:E76"/>
    <mergeCell ref="B77:E77"/>
    <mergeCell ref="B78:F78"/>
    <mergeCell ref="C79:D79"/>
    <mergeCell ref="C80:D80"/>
    <mergeCell ref="C81:D81"/>
    <mergeCell ref="C82:D82"/>
    <mergeCell ref="C83:D83"/>
    <mergeCell ref="C84:D84"/>
    <mergeCell ref="C85:D85"/>
    <mergeCell ref="B86:E86"/>
    <mergeCell ref="C88:E88"/>
    <mergeCell ref="C89:E89"/>
    <mergeCell ref="C90:E90"/>
    <mergeCell ref="C91:E91"/>
    <mergeCell ref="C92:E92"/>
    <mergeCell ref="C93:E93"/>
    <mergeCell ref="C94:E94"/>
    <mergeCell ref="B95:E95"/>
  </mergeCells>
  <conditionalFormatting sqref="F47">
    <cfRule type="cellIs" priority="2" operator="equal" aboveAverage="0" equalAverage="0" bottom="0" percent="0" rank="0" text="" dxfId="0">
      <formula>"Insira o % do PAT"</formula>
    </cfRule>
  </conditionalFormatting>
  <printOptions headings="false" gridLines="false" gridLinesSet="true" horizontalCentered="true" verticalCentered="false"/>
  <pageMargins left="0.0798611111111111" right="0.05" top="0.196527777777778" bottom="0.157638888888889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F95"/>
  <sheetViews>
    <sheetView showFormulas="false" showGridLines="true" showRowColHeaders="true" showZeros="true" rightToLeft="false" tabSelected="false" showOutlineSymbols="true" defaultGridColor="true" view="normal" topLeftCell="A70" colorId="64" zoomScale="100" zoomScaleNormal="100" zoomScalePageLayoutView="100" workbookViewId="0">
      <selection pane="topLeft" activeCell="N75" activeCellId="0" sqref="N75"/>
    </sheetView>
  </sheetViews>
  <sheetFormatPr defaultColWidth="9.1484375" defaultRowHeight="16.5" zeroHeight="false" outlineLevelRow="0" outlineLevelCol="0"/>
  <cols>
    <col collapsed="false" customWidth="true" hidden="false" outlineLevel="0" max="1" min="1" style="1" width="2.71"/>
    <col collapsed="false" customWidth="true" hidden="false" outlineLevel="0" max="2" min="2" style="1" width="8.86"/>
    <col collapsed="false" customWidth="true" hidden="false" outlineLevel="0" max="3" min="3" style="1" width="52.57"/>
    <col collapsed="false" customWidth="true" hidden="false" outlineLevel="0" max="4" min="4" style="1" width="7.86"/>
    <col collapsed="false" customWidth="true" hidden="false" outlineLevel="0" max="5" min="5" style="1" width="13.57"/>
    <col collapsed="false" customWidth="true" hidden="false" outlineLevel="0" max="6" min="6" style="1" width="19.86"/>
    <col collapsed="false" customWidth="false" hidden="false" outlineLevel="0" max="16384" min="7" style="1" width="9.14"/>
  </cols>
  <sheetData>
    <row r="1" customFormat="false" ht="17.35" hidden="false" customHeight="false" outlineLevel="0" collapsed="false">
      <c r="B1" s="120" t="str">
        <f aca="false">RAMO</f>
        <v>RAMO: MINISTÉRIO PÚBLICO FEDERAL – MPF</v>
      </c>
      <c r="C1" s="120"/>
      <c r="D1" s="120"/>
      <c r="E1" s="120"/>
      <c r="F1" s="120"/>
    </row>
    <row r="2" customFormat="false" ht="17.35" hidden="false" customHeight="false" outlineLevel="0" collapsed="false">
      <c r="B2" s="121" t="str">
        <f aca="false">UG</f>
        <v>UNIDADE GESTORA (SIGLA): 200090 (PRPE) </v>
      </c>
      <c r="C2" s="121"/>
      <c r="D2" s="121"/>
      <c r="E2" s="122" t="s">
        <v>3</v>
      </c>
      <c r="F2" s="123" t="n">
        <f aca="false">IF(DATA_DO_ORCAMENTO_ESTIMATIVO="","",DATA_DO_ORCAMENTO_ESTIMATIVO)</f>
        <v>45859</v>
      </c>
    </row>
    <row r="3" s="6" customFormat="true" ht="15.75" hidden="false" customHeight="true" outlineLevel="0" collapsed="false">
      <c r="B3" s="124" t="s">
        <v>216</v>
      </c>
      <c r="C3" s="124"/>
      <c r="D3" s="124"/>
      <c r="E3" s="124"/>
      <c r="F3" s="124"/>
    </row>
    <row r="4" s="6" customFormat="true" ht="15.75" hidden="false" customHeight="true" outlineLevel="0" collapsed="false">
      <c r="B4" s="11" t="s">
        <v>7</v>
      </c>
      <c r="C4" s="11"/>
      <c r="D4" s="11"/>
      <c r="E4" s="11"/>
      <c r="F4" s="11"/>
    </row>
    <row r="5" s="6" customFormat="true" ht="15.75" hidden="false" customHeight="true" outlineLevel="0" collapsed="false">
      <c r="B5" s="13" t="s">
        <v>199</v>
      </c>
      <c r="C5" s="13"/>
      <c r="D5" s="125" t="str">
        <f aca="false">NUMERO_PROCESSO</f>
        <v>X.XX.XXX.XXXXXX/20XX-XX</v>
      </c>
      <c r="E5" s="125"/>
      <c r="F5" s="125"/>
    </row>
    <row r="6" s="6" customFormat="true" ht="15.75" hidden="false" customHeight="true" outlineLevel="0" collapsed="false">
      <c r="B6" s="16" t="s">
        <v>200</v>
      </c>
      <c r="C6" s="16"/>
      <c r="D6" s="126" t="str">
        <f aca="false">MODALIDADE_DE_LICITACAO</f>
        <v>Pregão nº</v>
      </c>
      <c r="E6" s="126"/>
      <c r="F6" s="127" t="str">
        <f aca="false">NUMERO_PREGAO</f>
        <v>XX/20XX</v>
      </c>
    </row>
    <row r="7" s="6" customFormat="true" ht="15.75" hidden="false" customHeight="true" outlineLevel="0" collapsed="false">
      <c r="B7" s="128" t="s">
        <v>201</v>
      </c>
      <c r="C7" s="128"/>
      <c r="D7" s="128"/>
      <c r="E7" s="128"/>
      <c r="F7" s="128"/>
    </row>
    <row r="8" s="6" customFormat="true" ht="18" hidden="false" customHeight="true" outlineLevel="0" collapsed="false">
      <c r="B8" s="28" t="s">
        <v>31</v>
      </c>
      <c r="C8" s="13" t="s">
        <v>32</v>
      </c>
      <c r="D8" s="13"/>
      <c r="E8" s="13"/>
      <c r="F8" s="129" t="str">
        <f aca="false">DATA_APRESENTACAO_PROPOSTA</f>
        <v>XX/XX/20XX</v>
      </c>
    </row>
    <row r="9" s="6" customFormat="true" ht="15.75" hidden="false" customHeight="true" outlineLevel="0" collapsed="false">
      <c r="B9" s="27" t="s">
        <v>34</v>
      </c>
      <c r="C9" s="32" t="s">
        <v>35</v>
      </c>
      <c r="D9" s="108" t="str">
        <f aca="false">IF(LOCAL_DE_EXECUCAO="","",LOCAL_DE_EXECUCAO)</f>
        <v/>
      </c>
      <c r="E9" s="108"/>
      <c r="F9" s="108"/>
    </row>
    <row r="10" s="6" customFormat="true" ht="18.75" hidden="false" customHeight="true" outlineLevel="0" collapsed="false">
      <c r="B10" s="28" t="s">
        <v>37</v>
      </c>
      <c r="C10" s="13" t="s">
        <v>42</v>
      </c>
      <c r="D10" s="13"/>
      <c r="E10" s="13"/>
      <c r="F10" s="130" t="str">
        <f aca="false">ACORDO_COLETIVO</f>
        <v>01/2025</v>
      </c>
    </row>
    <row r="11" s="6" customFormat="true" ht="15.75" hidden="false" customHeight="true" outlineLevel="0" collapsed="false">
      <c r="B11" s="27" t="s">
        <v>41</v>
      </c>
      <c r="C11" s="108" t="s">
        <v>45</v>
      </c>
      <c r="D11" s="108"/>
      <c r="E11" s="108"/>
      <c r="F11" s="76" t="n">
        <f aca="false">NUMERO_MESES_EXEC_CONTRATUAL</f>
        <v>12</v>
      </c>
    </row>
    <row r="12" s="6" customFormat="true" ht="16.5" hidden="false" customHeight="false" outlineLevel="0" collapsed="false">
      <c r="B12" s="27" t="s">
        <v>44</v>
      </c>
      <c r="C12" s="119" t="s">
        <v>217</v>
      </c>
      <c r="D12" s="119"/>
      <c r="E12" s="119"/>
      <c r="F12" s="36" t="n">
        <f aca="false">IF(QTDE_DE_SERV=0,"",QTDE_DE_SERV)</f>
        <v>19</v>
      </c>
    </row>
    <row r="13" s="131" customFormat="true" ht="15" hidden="false" customHeight="true" outlineLevel="0" collapsed="false">
      <c r="B13" s="132" t="s">
        <v>73</v>
      </c>
      <c r="C13" s="133"/>
      <c r="D13" s="133"/>
      <c r="E13" s="133"/>
      <c r="F13" s="133"/>
    </row>
    <row r="14" s="6" customFormat="true" ht="16.5" hidden="false" customHeight="false" outlineLevel="0" collapsed="false">
      <c r="B14" s="28" t="n">
        <v>1</v>
      </c>
      <c r="C14" s="13" t="s">
        <v>67</v>
      </c>
      <c r="D14" s="13"/>
      <c r="E14" s="36" t="str">
        <f aca="false">TIPO_DE_SERVICO</f>
        <v>Limpeza e Conservação</v>
      </c>
      <c r="F14" s="36"/>
    </row>
    <row r="15" s="6" customFormat="true" ht="16.5" hidden="false" customHeight="false" outlineLevel="0" collapsed="false">
      <c r="B15" s="28" t="n">
        <v>2</v>
      </c>
      <c r="C15" s="57" t="s">
        <v>69</v>
      </c>
      <c r="D15" s="134" t="str">
        <f aca="false">CBO</f>
        <v>5143-20</v>
      </c>
      <c r="E15" s="134"/>
      <c r="F15" s="134"/>
    </row>
    <row r="16" s="6" customFormat="true" ht="15" hidden="false" customHeight="true" outlineLevel="0" collapsed="false">
      <c r="B16" s="28" t="n">
        <v>3</v>
      </c>
      <c r="C16" s="135" t="s">
        <v>203</v>
      </c>
      <c r="D16" s="125" t="str">
        <f aca="false">CATEGORIA_PROFISSIONAL_SERV</f>
        <v>Servente</v>
      </c>
      <c r="E16" s="125"/>
      <c r="F16" s="125"/>
    </row>
    <row r="17" s="6" customFormat="true" ht="15" hidden="false" customHeight="true" outlineLevel="0" collapsed="false">
      <c r="B17" s="28" t="n">
        <v>4</v>
      </c>
      <c r="C17" s="16" t="s">
        <v>71</v>
      </c>
      <c r="D17" s="16"/>
      <c r="E17" s="16"/>
      <c r="F17" s="167" t="n">
        <f aca="false">DATA_BASE_CATEGORIA</f>
        <v>45658</v>
      </c>
    </row>
    <row r="18" s="138" customFormat="true" ht="18.75" hidden="false" customHeight="true" outlineLevel="0" collapsed="false">
      <c r="B18" s="139" t="s">
        <v>204</v>
      </c>
      <c r="C18" s="139"/>
      <c r="D18" s="139"/>
      <c r="E18" s="139"/>
      <c r="F18" s="139"/>
    </row>
    <row r="19" customFormat="false" ht="16.5" hidden="false" customHeight="false" outlineLevel="0" collapsed="false">
      <c r="B19" s="64" t="s">
        <v>74</v>
      </c>
      <c r="E19" s="65"/>
      <c r="F19" s="65"/>
    </row>
    <row r="20" customFormat="false" ht="16.5" hidden="false" customHeight="true" outlineLevel="0" collapsed="false">
      <c r="B20" s="27" t="n">
        <v>1</v>
      </c>
      <c r="C20" s="66" t="s">
        <v>75</v>
      </c>
      <c r="D20" s="66"/>
      <c r="E20" s="66"/>
      <c r="F20" s="15" t="s">
        <v>107</v>
      </c>
    </row>
    <row r="21" customFormat="false" ht="16.5" hidden="false" customHeight="true" outlineLevel="0" collapsed="false">
      <c r="B21" s="27" t="s">
        <v>31</v>
      </c>
      <c r="C21" s="104" t="s">
        <v>205</v>
      </c>
      <c r="D21" s="104"/>
      <c r="E21" s="104"/>
      <c r="F21" s="140" t="n">
        <f aca="false">SALARIO_NORMATIVO_SERV</f>
        <v>1528.65</v>
      </c>
    </row>
    <row r="22" customFormat="false" ht="16.5" hidden="false" customHeight="true" outlineLevel="0" collapsed="false">
      <c r="B22" s="27" t="s">
        <v>34</v>
      </c>
      <c r="C22" s="34" t="s">
        <v>206</v>
      </c>
      <c r="D22" s="34"/>
      <c r="E22" s="34"/>
      <c r="F22" s="141" t="n">
        <f aca="false">IF(AND(ADIC_INSALUB_SERV="SIM",BC_ADIC_INSALUB="CCT"),PERC_ADIC_INSALUB%*SALARIO_NORMATIVO_SERV,IF(AND(ADIC_INSALUB_SERV="SIM",BC_ADIC_INSALUB="Salário Mínimo"),PERC_ADIC_INSALUB%*SAL_MINIMO,0))</f>
        <v>0</v>
      </c>
    </row>
    <row r="23" customFormat="false" ht="16.5" hidden="false" customHeight="false" outlineLevel="0" collapsed="false">
      <c r="B23" s="27" t="s">
        <v>37</v>
      </c>
      <c r="C23" s="104" t="str">
        <f aca="false">OUTROS_REMUNERACAO_1_DESCRICAO</f>
        <v>Outras Remunerações 1 (Especificar)</v>
      </c>
      <c r="D23" s="104"/>
      <c r="E23" s="104"/>
      <c r="F23" s="140" t="n">
        <f aca="false">OUTROS_REMUNERACAO_1</f>
        <v>0</v>
      </c>
    </row>
    <row r="24" customFormat="false" ht="15.75" hidden="false" customHeight="true" outlineLevel="0" collapsed="false">
      <c r="B24" s="27" t="s">
        <v>41</v>
      </c>
      <c r="C24" s="67" t="str">
        <f aca="false">OUTROS_REMUNERACAO_2_DESCRICAO</f>
        <v>Outras Remunerações 2 (Especificar)</v>
      </c>
      <c r="D24" s="67"/>
      <c r="E24" s="67"/>
      <c r="F24" s="141" t="n">
        <f aca="false">OUTROS_REMUNERACAO_2</f>
        <v>0</v>
      </c>
    </row>
    <row r="25" customFormat="false" ht="15.75" hidden="false" customHeight="true" outlineLevel="0" collapsed="false">
      <c r="B25" s="27" t="s">
        <v>44</v>
      </c>
      <c r="C25" s="104" t="str">
        <f aca="false">OUTROS_REMUNERACAO_3_DESCRICAO</f>
        <v>Outras Remunerações 3 (Especificar)</v>
      </c>
      <c r="D25" s="104"/>
      <c r="E25" s="104"/>
      <c r="F25" s="140" t="n">
        <f aca="false">OUTROS_REMUNERACAO_3</f>
        <v>0</v>
      </c>
    </row>
    <row r="26" customFormat="false" ht="15.75" hidden="false" customHeight="true" outlineLevel="0" collapsed="false">
      <c r="B26" s="66" t="s">
        <v>15</v>
      </c>
      <c r="C26" s="66"/>
      <c r="D26" s="66"/>
      <c r="E26" s="66"/>
      <c r="F26" s="142" t="n">
        <f aca="false">SUM(F21:F25)</f>
        <v>1528.65</v>
      </c>
    </row>
    <row r="27" customFormat="false" ht="16.5" hidden="false" customHeight="false" outlineLevel="0" collapsed="false">
      <c r="B27" s="64" t="s">
        <v>81</v>
      </c>
      <c r="E27" s="72"/>
      <c r="F27" s="72"/>
    </row>
    <row r="28" customFormat="false" ht="16.5" hidden="false" customHeight="false" outlineLevel="0" collapsed="false">
      <c r="B28" s="64" t="s">
        <v>157</v>
      </c>
      <c r="C28" s="81"/>
      <c r="D28" s="40"/>
      <c r="E28" s="82"/>
      <c r="F28" s="82"/>
    </row>
    <row r="29" customFormat="false" ht="16.5" hidden="false" customHeight="false" outlineLevel="0" collapsed="false">
      <c r="B29" s="27" t="s">
        <v>158</v>
      </c>
      <c r="C29" s="93" t="s">
        <v>159</v>
      </c>
      <c r="D29" s="93"/>
      <c r="E29" s="15" t="s">
        <v>103</v>
      </c>
      <c r="F29" s="15" t="s">
        <v>107</v>
      </c>
    </row>
    <row r="30" customFormat="false" ht="16.5" hidden="false" customHeight="true" outlineLevel="0" collapsed="false">
      <c r="B30" s="27" t="s">
        <v>31</v>
      </c>
      <c r="C30" s="94" t="s">
        <v>161</v>
      </c>
      <c r="D30" s="94"/>
      <c r="E30" s="143" t="n">
        <f aca="false">PERC_DEC_TERC</f>
        <v>8.33</v>
      </c>
      <c r="F30" s="144" t="n">
        <f aca="false">PERC_DEC_TERC%*MOD_1_REMUNERACAO_SERV</f>
        <v>127.34</v>
      </c>
    </row>
    <row r="31" customFormat="false" ht="16.5" hidden="false" customHeight="true" outlineLevel="0" collapsed="false">
      <c r="B31" s="15" t="s">
        <v>34</v>
      </c>
      <c r="C31" s="34" t="s">
        <v>163</v>
      </c>
      <c r="D31" s="34"/>
      <c r="E31" s="145" t="n">
        <f aca="false">PERC_ADIC_FERIAS</f>
        <v>2.78</v>
      </c>
      <c r="F31" s="146" t="n">
        <f aca="false">PERC_ADIC_FERIAS%*MOD_1_REMUNERACAO_SERV</f>
        <v>42.5</v>
      </c>
    </row>
    <row r="32" customFormat="false" ht="16.5" hidden="false" customHeight="false" outlineLevel="0" collapsed="false">
      <c r="B32" s="93" t="s">
        <v>15</v>
      </c>
      <c r="C32" s="93"/>
      <c r="D32" s="93"/>
      <c r="E32" s="93"/>
      <c r="F32" s="147" t="n">
        <f aca="false">SUM(F30:F31)</f>
        <v>169.84</v>
      </c>
    </row>
    <row r="33" customFormat="false" ht="31.3" hidden="false" customHeight="true" outlineLevel="0" collapsed="false">
      <c r="B33" s="148" t="s">
        <v>165</v>
      </c>
      <c r="C33" s="148"/>
      <c r="D33" s="148"/>
      <c r="E33" s="148"/>
      <c r="F33" s="148"/>
    </row>
    <row r="34" customFormat="false" ht="31.3" hidden="false" customHeight="true" outlineLevel="0" collapsed="false">
      <c r="B34" s="27" t="s">
        <v>83</v>
      </c>
      <c r="C34" s="115" t="s">
        <v>166</v>
      </c>
      <c r="D34" s="115"/>
      <c r="E34" s="15" t="s">
        <v>103</v>
      </c>
      <c r="F34" s="15" t="s">
        <v>107</v>
      </c>
    </row>
    <row r="35" customFormat="false" ht="16.5" hidden="false" customHeight="true" outlineLevel="0" collapsed="false">
      <c r="B35" s="27" t="s">
        <v>31</v>
      </c>
      <c r="C35" s="94" t="s">
        <v>167</v>
      </c>
      <c r="D35" s="94"/>
      <c r="E35" s="143" t="n">
        <f aca="false">PERC_INSS</f>
        <v>20</v>
      </c>
      <c r="F35" s="144" t="n">
        <f aca="false">PERC_INSS%*(MOD_1_REMUNERACAO_SERV+SUBMOD_2_1_DEC_TERC_ADIC_FERIAS_SERV)</f>
        <v>339.7</v>
      </c>
    </row>
    <row r="36" s="71" customFormat="true" ht="16.5" hidden="false" customHeight="true" outlineLevel="0" collapsed="false">
      <c r="B36" s="15" t="s">
        <v>34</v>
      </c>
      <c r="C36" s="34" t="s">
        <v>168</v>
      </c>
      <c r="D36" s="34"/>
      <c r="E36" s="145" t="n">
        <f aca="false">PERC_SAL_EDUCACAO</f>
        <v>2.5</v>
      </c>
      <c r="F36" s="146" t="n">
        <f aca="false">PERC_SAL_EDUCACAO%*(MOD_1_REMUNERACAO_SERV+SUBMOD_2_1_DEC_TERC_ADIC_FERIAS_SERV)</f>
        <v>42.46</v>
      </c>
    </row>
    <row r="37" s="71" customFormat="true" ht="16.5" hidden="false" customHeight="true" outlineLevel="0" collapsed="false">
      <c r="B37" s="15" t="s">
        <v>37</v>
      </c>
      <c r="C37" s="94" t="s">
        <v>218</v>
      </c>
      <c r="D37" s="94"/>
      <c r="E37" s="143" t="n">
        <f aca="false">PERC_RAT</f>
        <v>3</v>
      </c>
      <c r="F37" s="144" t="n">
        <f aca="false">PERC_RAT%*(MOD_1_REMUNERACAO_SERV+SUBMOD_2_1_DEC_TERC_ADIC_FERIAS_SERV)</f>
        <v>50.95</v>
      </c>
    </row>
    <row r="38" s="71" customFormat="true" ht="16.5" hidden="false" customHeight="true" outlineLevel="0" collapsed="false">
      <c r="B38" s="15" t="s">
        <v>41</v>
      </c>
      <c r="C38" s="34" t="s">
        <v>170</v>
      </c>
      <c r="D38" s="34"/>
      <c r="E38" s="145" t="n">
        <f aca="false">PERC_SESC</f>
        <v>1.5</v>
      </c>
      <c r="F38" s="146" t="n">
        <f aca="false">PERC_SESC%*(MOD_1_REMUNERACAO_SERV+SUBMOD_2_1_DEC_TERC_ADIC_FERIAS_SERV)</f>
        <v>25.48</v>
      </c>
    </row>
    <row r="39" customFormat="false" ht="16.5" hidden="false" customHeight="true" outlineLevel="0" collapsed="false">
      <c r="B39" s="15" t="s">
        <v>44</v>
      </c>
      <c r="C39" s="94" t="s">
        <v>171</v>
      </c>
      <c r="D39" s="94"/>
      <c r="E39" s="143" t="n">
        <f aca="false">PERC_SENAC</f>
        <v>1</v>
      </c>
      <c r="F39" s="144" t="n">
        <f aca="false">PERC_SENAC%*(MOD_1_REMUNERACAO_SERV+SUBMOD_2_1_DEC_TERC_ADIC_FERIAS_SERV)</f>
        <v>16.98</v>
      </c>
    </row>
    <row r="40" s="6" customFormat="true" ht="16.5" hidden="false" customHeight="true" outlineLevel="0" collapsed="false">
      <c r="B40" s="15" t="s">
        <v>97</v>
      </c>
      <c r="C40" s="34" t="s">
        <v>172</v>
      </c>
      <c r="D40" s="34"/>
      <c r="E40" s="145" t="n">
        <f aca="false">PERC_SEBRAE</f>
        <v>0.6</v>
      </c>
      <c r="F40" s="146" t="n">
        <f aca="false">PERC_SEBRAE%*(MOD_1_REMUNERACAO_SERV+SUBMOD_2_1_DEC_TERC_ADIC_FERIAS_SERV)</f>
        <v>10.19</v>
      </c>
    </row>
    <row r="41" s="6" customFormat="true" ht="16.5" hidden="false" customHeight="true" outlineLevel="0" collapsed="false">
      <c r="B41" s="15" t="s">
        <v>132</v>
      </c>
      <c r="C41" s="94" t="s">
        <v>173</v>
      </c>
      <c r="D41" s="94"/>
      <c r="E41" s="143" t="n">
        <f aca="false">PERC_INCRA</f>
        <v>0.2</v>
      </c>
      <c r="F41" s="144" t="n">
        <f aca="false">PERC_INCRA%*(MOD_1_REMUNERACAO_SERV+SUBMOD_2_1_DEC_TERC_ADIC_FERIAS_SERV)</f>
        <v>3.4</v>
      </c>
    </row>
    <row r="42" s="6" customFormat="true" ht="16.5" hidden="false" customHeight="true" outlineLevel="0" collapsed="false">
      <c r="B42" s="15" t="s">
        <v>134</v>
      </c>
      <c r="C42" s="34" t="s">
        <v>174</v>
      </c>
      <c r="D42" s="34"/>
      <c r="E42" s="145" t="n">
        <f aca="false">PERC_FGTS</f>
        <v>8</v>
      </c>
      <c r="F42" s="146" t="n">
        <f aca="false">PERC_FGTS%*(MOD_1_REMUNERACAO_SERV+SUBMOD_2_1_DEC_TERC_ADIC_FERIAS_SERV)</f>
        <v>135.88</v>
      </c>
    </row>
    <row r="43" s="6" customFormat="true" ht="16.5" hidden="false" customHeight="false" outlineLevel="0" collapsed="false">
      <c r="B43" s="93" t="s">
        <v>15</v>
      </c>
      <c r="C43" s="93"/>
      <c r="D43" s="93"/>
      <c r="E43" s="93"/>
      <c r="F43" s="142" t="n">
        <f aca="false">SUM(F35:F42)</f>
        <v>625.04</v>
      </c>
    </row>
    <row r="44" s="6" customFormat="true" ht="16.5" hidden="false" customHeight="false" outlineLevel="0" collapsed="false">
      <c r="B44" s="64" t="s">
        <v>87</v>
      </c>
    </row>
    <row r="45" s="6" customFormat="true" ht="16.5" hidden="false" customHeight="true" outlineLevel="0" collapsed="false">
      <c r="B45" s="27" t="s">
        <v>88</v>
      </c>
      <c r="C45" s="66" t="s">
        <v>89</v>
      </c>
      <c r="D45" s="66"/>
      <c r="E45" s="66"/>
      <c r="F45" s="15" t="s">
        <v>107</v>
      </c>
    </row>
    <row r="46" customFormat="false" ht="16.5" hidden="false" customHeight="true" outlineLevel="0" collapsed="false">
      <c r="B46" s="28" t="s">
        <v>31</v>
      </c>
      <c r="C46" s="94" t="s">
        <v>91</v>
      </c>
      <c r="D46" s="94"/>
      <c r="E46" s="94"/>
      <c r="F46" s="144" t="n">
        <f aca="false">IF(((TRANSPORTE_POR_DIA*DIAS_TRABALHADOS_NO_MES)-(PERC_DESC_TRANSP_REMUNERACAO%*(AL_1_A_SAL_BASE_SERV)))&gt;0,((TRANSPORTE_POR_DIA*DIAS_TRABALHADOS_NO_MES)-(PERC_DESC_TRANSP_REMUNERACAO%*(AL_1_A_SAL_BASE_SERV))),0)</f>
        <v>88.88</v>
      </c>
    </row>
    <row r="47" customFormat="false" ht="16.5" hidden="false" customHeight="true" outlineLevel="0" collapsed="false">
      <c r="B47" s="28" t="s">
        <v>34</v>
      </c>
      <c r="C47" s="34" t="s">
        <v>93</v>
      </c>
      <c r="D47" s="34"/>
      <c r="E47" s="34"/>
      <c r="F47" s="146" t="n">
        <f aca="false">IF(AND(ADESAO_AO_PAT="Sim",PERC_PAT&lt;&gt;""),ALIMENTACAO_POR_DIA*DIAS_TRABALHADOS_NO_MES*(100-PERC_PAT)%,IF(AND(ADESAO_AO_PAT="Sim",PERC_PAT=""),"Insira o % do PAT",ALIMENTACAO_POR_DIA*DIAS_TRABALHADOS_NO_MES))</f>
        <v>315</v>
      </c>
    </row>
    <row r="48" customFormat="false" ht="15.75" hidden="false" customHeight="true" outlineLevel="0" collapsed="false">
      <c r="B48" s="28" t="s">
        <v>37</v>
      </c>
      <c r="C48" s="104" t="str">
        <f aca="false">OUTROS_BENEFICIOS_1_DESCRICAO</f>
        <v>Cesta básica (CCT)</v>
      </c>
      <c r="D48" s="104"/>
      <c r="E48" s="104"/>
      <c r="F48" s="144" t="n">
        <f aca="false">OUTROS_BENEFICIOS_1</f>
        <v>142.05</v>
      </c>
    </row>
    <row r="49" customFormat="false" ht="15.75" hidden="false" customHeight="true" outlineLevel="0" collapsed="false">
      <c r="B49" s="28" t="s">
        <v>41</v>
      </c>
      <c r="C49" s="67" t="str">
        <f aca="false">OUTROS_BENEFICIOS_2_DESCRICAO</f>
        <v>Cobertura social (CCT)</v>
      </c>
      <c r="D49" s="67"/>
      <c r="E49" s="67"/>
      <c r="F49" s="146" t="n">
        <f aca="false">OUTROS_BENEFICIOS_2</f>
        <v>78.59</v>
      </c>
    </row>
    <row r="50" customFormat="false" ht="16.5" hidden="false" customHeight="false" outlineLevel="0" collapsed="false">
      <c r="B50" s="28" t="s">
        <v>44</v>
      </c>
      <c r="C50" s="104" t="str">
        <f aca="false">OUTROS_BENEFICIOS_3_DESCRICAO</f>
        <v>Outros Benefícios 3 (Especificar)</v>
      </c>
      <c r="D50" s="104"/>
      <c r="E50" s="104"/>
      <c r="F50" s="144" t="n">
        <f aca="false">OUTROS_BENEFICIOS_3</f>
        <v>0</v>
      </c>
    </row>
    <row r="51" s="71" customFormat="true" ht="16.5" hidden="false" customHeight="true" outlineLevel="0" collapsed="false">
      <c r="B51" s="66" t="s">
        <v>15</v>
      </c>
      <c r="C51" s="66"/>
      <c r="D51" s="66"/>
      <c r="E51" s="66"/>
      <c r="F51" s="142" t="n">
        <f aca="false">SUM(F46:F50)</f>
        <v>624.52</v>
      </c>
    </row>
    <row r="52" s="71" customFormat="true" ht="16.5" hidden="false" customHeight="false" outlineLevel="0" collapsed="false">
      <c r="B52" s="64" t="s">
        <v>140</v>
      </c>
      <c r="C52" s="81"/>
      <c r="D52" s="40"/>
      <c r="E52" s="82"/>
      <c r="F52" s="82"/>
    </row>
    <row r="53" s="71" customFormat="true" ht="16.5" hidden="false" customHeight="false" outlineLevel="0" collapsed="false">
      <c r="B53" s="27" t="n">
        <v>3</v>
      </c>
      <c r="C53" s="93" t="s">
        <v>141</v>
      </c>
      <c r="D53" s="93"/>
      <c r="E53" s="15" t="s">
        <v>103</v>
      </c>
      <c r="F53" s="15" t="s">
        <v>107</v>
      </c>
    </row>
    <row r="54" s="71" customFormat="true" ht="16.5" hidden="false" customHeight="false" outlineLevel="0" collapsed="false">
      <c r="B54" s="27" t="s">
        <v>31</v>
      </c>
      <c r="C54" s="117" t="s">
        <v>175</v>
      </c>
      <c r="D54" s="117"/>
      <c r="E54" s="143" t="n">
        <f aca="false">PERC_AVISO_PREVIO_IND</f>
        <v>0.26</v>
      </c>
      <c r="F54" s="144" t="n">
        <f aca="false">PERC_AVISO_PREVIO_IND%*(MOD_1_REMUNERACAO_SERV+SUBMOD_2_1_DEC_TERC_ADIC_FERIAS_SERV)</f>
        <v>4.42</v>
      </c>
    </row>
    <row r="55" s="71" customFormat="true" ht="15" hidden="false" customHeight="true" outlineLevel="0" collapsed="false">
      <c r="B55" s="15" t="s">
        <v>34</v>
      </c>
      <c r="C55" s="118" t="s">
        <v>177</v>
      </c>
      <c r="D55" s="118"/>
      <c r="E55" s="145" t="n">
        <f aca="false">INCID_FGTS_SOBRE_API</f>
        <v>0.02</v>
      </c>
      <c r="F55" s="146" t="n">
        <f aca="false">INCID_FGTS_SOBRE_API%*(MOD_1_REMUNERACAO_SERV+SUBMOD_2_1_DEC_TERC_ADIC_FERIAS_SERV)</f>
        <v>0.34</v>
      </c>
    </row>
    <row r="56" s="71" customFormat="true" ht="16.5" hidden="false" customHeight="true" outlineLevel="0" collapsed="false">
      <c r="B56" s="15" t="s">
        <v>37</v>
      </c>
      <c r="C56" s="119" t="s">
        <v>179</v>
      </c>
      <c r="D56" s="119"/>
      <c r="E56" s="143" t="n">
        <f aca="false">PERC_MULTA_FGTS_AV_PREV_IND</f>
        <v>0.1</v>
      </c>
      <c r="F56" s="144" t="n">
        <f aca="false">PERC_MULTA_FGTS_AV_PREV_IND%*(MOD_1_REMUNERACAO_SERV+SUBMOD_2_1_DEC_TERC_ADIC_FERIAS_SERV)</f>
        <v>1.7</v>
      </c>
    </row>
    <row r="57" s="71" customFormat="true" ht="16.5" hidden="false" customHeight="false" outlineLevel="0" collapsed="false">
      <c r="B57" s="15" t="s">
        <v>41</v>
      </c>
      <c r="C57" s="118" t="s">
        <v>181</v>
      </c>
      <c r="D57" s="118"/>
      <c r="E57" s="145" t="n">
        <f aca="false">PERC_AVISO_PREVIO_TRAB</f>
        <v>1.03</v>
      </c>
      <c r="F57" s="146" t="n">
        <f aca="false">PERC_AVISO_PREVIO_TRAB%*(MOD_1_REMUNERACAO_SERV+SUBMOD_2_1_DEC_TERC_ADIC_FERIAS_SERV)</f>
        <v>17.49</v>
      </c>
    </row>
    <row r="58" s="71" customFormat="true" ht="16.5" hidden="false" customHeight="true" outlineLevel="0" collapsed="false">
      <c r="B58" s="15" t="s">
        <v>44</v>
      </c>
      <c r="C58" s="119" t="s">
        <v>207</v>
      </c>
      <c r="D58" s="119"/>
      <c r="E58" s="143" t="n">
        <f aca="false">INCID_SUBMOD_2_2_APT</f>
        <v>0.38</v>
      </c>
      <c r="F58" s="144" t="n">
        <f aca="false">INCID_SUBMOD_2_2_APT%*(MOD_1_REMUNERACAO_SERV+SUBMOD_2_1_DEC_TERC_ADIC_FERIAS_SERV)</f>
        <v>6.45</v>
      </c>
    </row>
    <row r="59" s="6" customFormat="true" ht="16.5" hidden="false" customHeight="false" outlineLevel="0" collapsed="false">
      <c r="B59" s="15" t="s">
        <v>97</v>
      </c>
      <c r="C59" s="118" t="s">
        <v>185</v>
      </c>
      <c r="D59" s="118"/>
      <c r="E59" s="145" t="n">
        <f aca="false">PERC_MULTA_FGTS_AV_PREV_TRAB</f>
        <v>1.7</v>
      </c>
      <c r="F59" s="146" t="n">
        <f aca="false">PERC_MULTA_FGTS_AV_PREV_TRAB%*(MOD_1_REMUNERACAO_SERV+SUBMOD_2_1_DEC_TERC_ADIC_FERIAS_SERV)</f>
        <v>28.87</v>
      </c>
    </row>
    <row r="60" s="6" customFormat="true" ht="16.5" hidden="false" customHeight="false" outlineLevel="0" collapsed="false">
      <c r="B60" s="93" t="s">
        <v>15</v>
      </c>
      <c r="C60" s="93"/>
      <c r="D60" s="93"/>
      <c r="E60" s="93"/>
      <c r="F60" s="147" t="n">
        <f aca="false">SUM(F54:F56)</f>
        <v>6.46</v>
      </c>
    </row>
    <row r="61" s="6" customFormat="true" ht="16.5" hidden="false" customHeight="false" outlineLevel="0" collapsed="false">
      <c r="B61" s="64" t="s">
        <v>99</v>
      </c>
      <c r="C61" s="81"/>
      <c r="D61" s="40"/>
      <c r="E61" s="1"/>
      <c r="F61" s="1"/>
    </row>
    <row r="62" s="6" customFormat="true" ht="16.5" hidden="false" customHeight="false" outlineLevel="0" collapsed="false">
      <c r="B62" s="64" t="s">
        <v>100</v>
      </c>
      <c r="C62" s="81"/>
      <c r="D62" s="40"/>
      <c r="E62" s="82"/>
      <c r="F62" s="82"/>
    </row>
    <row r="63" s="6" customFormat="true" ht="16.5" hidden="false" customHeight="true" outlineLevel="0" collapsed="false">
      <c r="B63" s="27" t="s">
        <v>101</v>
      </c>
      <c r="C63" s="66" t="s">
        <v>102</v>
      </c>
      <c r="D63" s="66"/>
      <c r="E63" s="15" t="s">
        <v>103</v>
      </c>
      <c r="F63" s="15" t="s">
        <v>107</v>
      </c>
    </row>
    <row r="64" customFormat="false" ht="16.5" hidden="false" customHeight="true" outlineLevel="0" collapsed="false">
      <c r="B64" s="15" t="s">
        <v>31</v>
      </c>
      <c r="C64" s="94" t="s">
        <v>187</v>
      </c>
      <c r="D64" s="94"/>
      <c r="E64" s="143" t="n">
        <f aca="false">PERC_SUBSTITUTO_FERIAS</f>
        <v>8.33</v>
      </c>
      <c r="F64" s="144" t="n">
        <f aca="false">PERC_SUBSTITUTO_FERIAS%*(MOD_1_REMUNERACAO_SERV+MOD_2_ENCARGOS_BENEFICIOS_SERV)</f>
        <v>245.57</v>
      </c>
    </row>
    <row r="65" s="6" customFormat="true" ht="15.75" hidden="false" customHeight="true" outlineLevel="0" collapsed="false">
      <c r="B65" s="15" t="s">
        <v>34</v>
      </c>
      <c r="C65" s="34" t="s">
        <v>189</v>
      </c>
      <c r="D65" s="34"/>
      <c r="E65" s="145" t="n">
        <f aca="false">PERC_SUBSTITUTO_AUSENCIAS_LEGAIS</f>
        <v>2.22</v>
      </c>
      <c r="F65" s="146" t="n">
        <f aca="false">PERC_SUBSTITUTO_AUSENCIAS_LEGAIS%*(MOD_1_REMUNERACAO_SERV+MOD_2_ENCARGOS_BENEFICIOS_SERV)</f>
        <v>65.45</v>
      </c>
    </row>
    <row r="66" s="6" customFormat="true" ht="15.75" hidden="false" customHeight="true" outlineLevel="0" collapsed="false">
      <c r="B66" s="15" t="s">
        <v>37</v>
      </c>
      <c r="C66" s="94" t="s">
        <v>191</v>
      </c>
      <c r="D66" s="94"/>
      <c r="E66" s="143" t="n">
        <f aca="false">PERC_SUBSTITUTO_LICENCA_PATERNIDADE</f>
        <v>0.01</v>
      </c>
      <c r="F66" s="144" t="n">
        <f aca="false">PERC_SUBSTITUTO_LICENCA_PATERNIDADE%*(MOD_1_REMUNERACAO_SERV+MOD_2_ENCARGOS_BENEFICIOS_SERV)</f>
        <v>0.29</v>
      </c>
    </row>
    <row r="67" s="6" customFormat="true" ht="16.5" hidden="false" customHeight="true" outlineLevel="0" collapsed="false">
      <c r="B67" s="15" t="s">
        <v>41</v>
      </c>
      <c r="C67" s="34" t="s">
        <v>193</v>
      </c>
      <c r="D67" s="34"/>
      <c r="E67" s="145" t="n">
        <f aca="false">PERC_SUBSTITUTO_ACID_TRAB</f>
        <v>0.02</v>
      </c>
      <c r="F67" s="146" t="n">
        <f aca="false">PERC_SUBSTITUTO_ACID_TRAB%*(MOD_1_REMUNERACAO_SERV+MOD_2_ENCARGOS_BENEFICIOS_SERV)</f>
        <v>0.59</v>
      </c>
    </row>
    <row r="68" s="6" customFormat="true" ht="15.75" hidden="false" customHeight="true" outlineLevel="0" collapsed="false">
      <c r="B68" s="15" t="s">
        <v>44</v>
      </c>
      <c r="C68" s="94" t="s">
        <v>195</v>
      </c>
      <c r="D68" s="94"/>
      <c r="E68" s="143" t="n">
        <f aca="false">PERC_SUBSTITUTO_AFAST_MATERN</f>
        <v>0.1</v>
      </c>
      <c r="F68" s="144" t="n">
        <f aca="false">PERC_SUBSTITUTO_AFAST_MATERN%*(MOD_1_REMUNERACAO_SERV+MOD_2_ENCARGOS_BENEFICIOS_SERV)</f>
        <v>2.95</v>
      </c>
    </row>
    <row r="69" s="6" customFormat="true" ht="15.75" hidden="false" customHeight="true" outlineLevel="0" collapsed="false">
      <c r="B69" s="15" t="s">
        <v>97</v>
      </c>
      <c r="C69" s="149" t="str">
        <f aca="false">OUTRAS_AUSENCIAS_DESCRICAO</f>
        <v>Outras Ausências (Especificar em %)</v>
      </c>
      <c r="D69" s="149"/>
      <c r="E69" s="150" t="n">
        <f aca="false">PERC_SUBSTITUTO_OUTRAS_AUSENCIAS</f>
        <v>0</v>
      </c>
      <c r="F69" s="146" t="n">
        <f aca="false">PERC_SUBSTITUTO_OUTRAS_AUSENCIAS%*(MOD_1_REMUNERACAO_SERV+MOD_2_ENCARGOS_BENEFICIOS_SERV)</f>
        <v>0</v>
      </c>
    </row>
    <row r="70" s="6" customFormat="true" ht="15.75" hidden="false" customHeight="true" outlineLevel="0" collapsed="false">
      <c r="B70" s="93" t="s">
        <v>15</v>
      </c>
      <c r="C70" s="93"/>
      <c r="D70" s="93"/>
      <c r="E70" s="93"/>
      <c r="F70" s="147" t="n">
        <f aca="false">SUM(F64:F69)</f>
        <v>314.85</v>
      </c>
    </row>
    <row r="71" s="6" customFormat="true" ht="16.5" hidden="false" customHeight="false" outlineLevel="0" collapsed="false">
      <c r="B71" s="64" t="s">
        <v>105</v>
      </c>
      <c r="C71" s="81"/>
      <c r="D71" s="81"/>
      <c r="E71" s="82"/>
      <c r="F71" s="82"/>
    </row>
    <row r="72" s="6" customFormat="true" ht="16.5" hidden="false" customHeight="true" outlineLevel="0" collapsed="false">
      <c r="B72" s="84" t="n">
        <v>5</v>
      </c>
      <c r="C72" s="85" t="s">
        <v>106</v>
      </c>
      <c r="D72" s="85"/>
      <c r="E72" s="85"/>
      <c r="F72" s="86" t="s">
        <v>107</v>
      </c>
    </row>
    <row r="73" s="6" customFormat="true" ht="16.5" hidden="false" customHeight="true" outlineLevel="0" collapsed="false">
      <c r="B73" s="87" t="s">
        <v>31</v>
      </c>
      <c r="C73" s="88" t="s">
        <v>108</v>
      </c>
      <c r="D73" s="88"/>
      <c r="E73" s="88"/>
      <c r="F73" s="151" t="n">
        <f aca="false">UNIFORMES</f>
        <v>53.33</v>
      </c>
    </row>
    <row r="74" customFormat="false" ht="16.5" hidden="false" customHeight="true" outlineLevel="0" collapsed="false">
      <c r="B74" s="87" t="s">
        <v>34</v>
      </c>
      <c r="C74" s="90" t="s">
        <v>109</v>
      </c>
      <c r="D74" s="90"/>
      <c r="E74" s="90"/>
      <c r="F74" s="152" t="n">
        <f aca="false">MATERIAIS</f>
        <v>19.36</v>
      </c>
    </row>
    <row r="75" customFormat="false" ht="16.5" hidden="false" customHeight="true" outlineLevel="0" collapsed="false">
      <c r="B75" s="87" t="s">
        <v>37</v>
      </c>
      <c r="C75" s="88" t="s">
        <v>110</v>
      </c>
      <c r="D75" s="88"/>
      <c r="E75" s="88"/>
      <c r="F75" s="151" t="n">
        <f aca="false">EQUIPAMENTOS</f>
        <v>17.63</v>
      </c>
    </row>
    <row r="76" customFormat="false" ht="15.75" hidden="false" customHeight="true" outlineLevel="0" collapsed="false">
      <c r="B76" s="87" t="s">
        <v>41</v>
      </c>
      <c r="C76" s="153" t="str">
        <f aca="false">OUTROS_INSUMOS_DESCRICAO</f>
        <v>Outros Insumos (Especificar)</v>
      </c>
      <c r="D76" s="153"/>
      <c r="E76" s="153"/>
      <c r="F76" s="152" t="n">
        <f aca="false">OUTROS_INSUMOS</f>
        <v>0</v>
      </c>
    </row>
    <row r="77" customFormat="false" ht="16.5" hidden="false" customHeight="true" outlineLevel="0" collapsed="false">
      <c r="B77" s="85" t="s">
        <v>15</v>
      </c>
      <c r="C77" s="85"/>
      <c r="D77" s="85"/>
      <c r="E77" s="85"/>
      <c r="F77" s="154" t="n">
        <f aca="false">SUM(F73:F76)</f>
        <v>90.32</v>
      </c>
    </row>
    <row r="78" customFormat="false" ht="16.5" hidden="false" customHeight="true" outlineLevel="0" collapsed="false">
      <c r="B78" s="92" t="s">
        <v>112</v>
      </c>
      <c r="C78" s="92"/>
      <c r="D78" s="92"/>
      <c r="E78" s="92"/>
      <c r="F78" s="92"/>
    </row>
    <row r="79" customFormat="false" ht="16.5" hidden="false" customHeight="false" outlineLevel="0" collapsed="false">
      <c r="B79" s="27" t="n">
        <v>6</v>
      </c>
      <c r="C79" s="93" t="s">
        <v>113</v>
      </c>
      <c r="D79" s="93"/>
      <c r="E79" s="15" t="s">
        <v>103</v>
      </c>
      <c r="F79" s="15" t="s">
        <v>107</v>
      </c>
    </row>
    <row r="80" customFormat="false" ht="16.5" hidden="false" customHeight="true" outlineLevel="0" collapsed="false">
      <c r="B80" s="27" t="s">
        <v>31</v>
      </c>
      <c r="C80" s="94" t="s">
        <v>114</v>
      </c>
      <c r="D80" s="94"/>
      <c r="E80" s="155" t="n">
        <f aca="false">PERC_CUSTOS_INDIRETOS</f>
        <v>4.73</v>
      </c>
      <c r="F80" s="144" t="n">
        <f aca="false">PERC_CUSTOS_INDIRETOS%*(MOD_1_REMUNERACAO_SERV+MOD_2_ENCARGOS_BENEFICIOS_SERV+MOD_3_PROVISAO_RESCISAO_SERV+MOD_4_CUSTO_REPOSICAO_SERV+MOD_5_INSUMOS_SERV)</f>
        <v>158.91</v>
      </c>
    </row>
    <row r="81" customFormat="false" ht="16.5" hidden="false" customHeight="true" outlineLevel="0" collapsed="false">
      <c r="B81" s="15" t="s">
        <v>34</v>
      </c>
      <c r="C81" s="34" t="s">
        <v>115</v>
      </c>
      <c r="D81" s="34"/>
      <c r="E81" s="156" t="n">
        <f aca="false">PERC_LUCRO</f>
        <v>5.57</v>
      </c>
      <c r="F81" s="146" t="n">
        <f aca="false">PERC_LUCRO%*(MOD_1_REMUNERACAO_SERV+MOD_2_ENCARGOS_BENEFICIOS_SERV+MOD_3_PROVISAO_RESCISAO_SERV+MOD_4_CUSTO_REPOSICAO_SERV+MOD_5_INSUMOS_SERV+AL_6_A_CUSTOS_INDIRETOS_SERV)</f>
        <v>195.99</v>
      </c>
    </row>
    <row r="82" customFormat="false" ht="15" hidden="false" customHeight="true" outlineLevel="0" collapsed="false">
      <c r="B82" s="15" t="s">
        <v>37</v>
      </c>
      <c r="C82" s="94" t="s">
        <v>208</v>
      </c>
      <c r="D82" s="94"/>
      <c r="E82" s="155" t="n">
        <f aca="false">SUM(E83:E85)</f>
        <v>8.65</v>
      </c>
      <c r="F82" s="144" t="n">
        <f aca="false">SUM(F83:F85)</f>
        <v>351.74</v>
      </c>
    </row>
    <row r="83" customFormat="false" ht="16.5" hidden="false" customHeight="true" outlineLevel="0" collapsed="false">
      <c r="B83" s="96" t="s">
        <v>116</v>
      </c>
      <c r="C83" s="157" t="s">
        <v>117</v>
      </c>
      <c r="D83" s="157"/>
      <c r="E83" s="158" t="n">
        <f aca="false">PERC_PIS</f>
        <v>0.65</v>
      </c>
      <c r="F83" s="159" t="n">
        <f aca="false">((MOD_1_REMUNERACAO_SERV+MOD_2_ENCARGOS_BENEFICIOS_SERV+MOD_3_PROVISAO_RESCISAO_SERV+MOD_4_CUSTO_REPOSICAO_SERV+MOD_5_INSUMOS_SERV+AL_6_A_CUSTOS_INDIRETOS_SERV+AL_6_B_LUCRO_SERV)*PERC_PIS%)/(1-PERC_TRIBUTOS%)</f>
        <v>26.43</v>
      </c>
    </row>
    <row r="84" customFormat="false" ht="16.5" hidden="false" customHeight="true" outlineLevel="0" collapsed="false">
      <c r="B84" s="96" t="s">
        <v>118</v>
      </c>
      <c r="C84" s="160" t="s">
        <v>119</v>
      </c>
      <c r="D84" s="160"/>
      <c r="E84" s="161" t="n">
        <f aca="false">PERC_COFINS</f>
        <v>3</v>
      </c>
      <c r="F84" s="162" t="n">
        <f aca="false">((MOD_1_REMUNERACAO_SERV+MOD_2_ENCARGOS_BENEFICIOS_SERV+MOD_3_PROVISAO_RESCISAO_SERV+MOD_4_CUSTO_REPOSICAO_SERV+MOD_5_INSUMOS_SERV+AL_6_A_CUSTOS_INDIRETOS_SERV+AL_6_B_LUCRO_SERV)*PERC_COFINS%)/(1-PERC_TRIBUTOS%)</f>
        <v>121.99</v>
      </c>
    </row>
    <row r="85" customFormat="false" ht="15.75" hidden="false" customHeight="true" outlineLevel="0" collapsed="false">
      <c r="B85" s="96" t="s">
        <v>120</v>
      </c>
      <c r="C85" s="157" t="s">
        <v>121</v>
      </c>
      <c r="D85" s="157"/>
      <c r="E85" s="158" t="n">
        <f aca="false">PERC_ISS</f>
        <v>5</v>
      </c>
      <c r="F85" s="159" t="n">
        <f aca="false">((MOD_1_REMUNERACAO_SERV+MOD_2_ENCARGOS_BENEFICIOS_SERV+MOD_3_PROVISAO_RESCISAO_SERV+MOD_4_CUSTO_REPOSICAO_SERV+MOD_5_INSUMOS_SERV+AL_6_A_CUSTOS_INDIRETOS_SERV+AL_6_B_LUCRO_SERV)*PERC_ISS%)/(1-PERC_TRIBUTOS%)</f>
        <v>203.32</v>
      </c>
    </row>
    <row r="86" customFormat="false" ht="16.5" hidden="false" customHeight="false" outlineLevel="0" collapsed="false">
      <c r="B86" s="93" t="s">
        <v>15</v>
      </c>
      <c r="C86" s="93"/>
      <c r="D86" s="93"/>
      <c r="E86" s="93"/>
      <c r="F86" s="163" t="n">
        <f aca="false">AL_6_A_CUSTOS_INDIRETOS_SERV+AL_6_B_LUCRO_SERV+AL_6_C_TRIBUTOS_SERV</f>
        <v>706.64</v>
      </c>
    </row>
    <row r="87" customFormat="false" ht="15.75" hidden="false" customHeight="true" outlineLevel="0" collapsed="false">
      <c r="B87" s="164" t="s">
        <v>209</v>
      </c>
      <c r="C87" s="165"/>
      <c r="D87" s="165"/>
      <c r="E87" s="165"/>
      <c r="F87" s="166"/>
    </row>
    <row r="88" customFormat="false" ht="16.5" hidden="false" customHeight="true" outlineLevel="0" collapsed="false">
      <c r="B88" s="15" t="s">
        <v>210</v>
      </c>
      <c r="C88" s="66" t="s">
        <v>211</v>
      </c>
      <c r="D88" s="66"/>
      <c r="E88" s="66"/>
      <c r="F88" s="15" t="s">
        <v>212</v>
      </c>
    </row>
    <row r="89" s="71" customFormat="true" ht="16.5" hidden="false" customHeight="true" outlineLevel="0" collapsed="false">
      <c r="B89" s="27" t="n">
        <v>1</v>
      </c>
      <c r="C89" s="94" t="s">
        <v>75</v>
      </c>
      <c r="D89" s="94"/>
      <c r="E89" s="94"/>
      <c r="F89" s="144" t="n">
        <f aca="false">MOD_1_REMUNERACAO_SERV</f>
        <v>1528.65</v>
      </c>
    </row>
    <row r="90" s="71" customFormat="true" ht="16.5" hidden="false" customHeight="true" outlineLevel="0" collapsed="false">
      <c r="B90" s="15" t="n">
        <v>2</v>
      </c>
      <c r="C90" s="34" t="s">
        <v>213</v>
      </c>
      <c r="D90" s="34"/>
      <c r="E90" s="34"/>
      <c r="F90" s="146" t="n">
        <f aca="false">MOD_2_ENCARGOS_BENEFICIOS_SERV</f>
        <v>1419.4</v>
      </c>
    </row>
    <row r="91" s="71" customFormat="true" ht="16.5" hidden="false" customHeight="true" outlineLevel="0" collapsed="false">
      <c r="B91" s="15" t="n">
        <v>3</v>
      </c>
      <c r="C91" s="94" t="s">
        <v>141</v>
      </c>
      <c r="D91" s="94"/>
      <c r="E91" s="94"/>
      <c r="F91" s="144" t="n">
        <f aca="false">MOD_3_PROVISAO_RESCISAO_SERV</f>
        <v>6.46</v>
      </c>
    </row>
    <row r="92" s="91" customFormat="true" ht="16.5" hidden="false" customHeight="true" outlineLevel="0" collapsed="false">
      <c r="B92" s="15" t="n">
        <v>4</v>
      </c>
      <c r="C92" s="34" t="s">
        <v>214</v>
      </c>
      <c r="D92" s="34"/>
      <c r="E92" s="34"/>
      <c r="F92" s="146" t="n">
        <f aca="false">MOD_4_CUSTO_REPOSICAO_SERV</f>
        <v>314.85</v>
      </c>
    </row>
    <row r="93" s="71" customFormat="true" ht="16.5" hidden="false" customHeight="true" outlineLevel="0" collapsed="false">
      <c r="B93" s="15" t="n">
        <v>5</v>
      </c>
      <c r="C93" s="94" t="s">
        <v>106</v>
      </c>
      <c r="D93" s="94"/>
      <c r="E93" s="94"/>
      <c r="F93" s="144" t="n">
        <f aca="false">MOD_5_INSUMOS_SERV</f>
        <v>90.32</v>
      </c>
    </row>
    <row r="94" customFormat="false" ht="16.5" hidden="false" customHeight="true" outlineLevel="0" collapsed="false">
      <c r="B94" s="15" t="n">
        <v>6</v>
      </c>
      <c r="C94" s="34" t="s">
        <v>113</v>
      </c>
      <c r="D94" s="34"/>
      <c r="E94" s="34"/>
      <c r="F94" s="146" t="n">
        <f aca="false">MOD_6_CUSTOS_IND_LUCRO_TRIB_SERV</f>
        <v>706.64</v>
      </c>
    </row>
    <row r="95" customFormat="false" ht="16.5" hidden="false" customHeight="true" outlineLevel="0" collapsed="false">
      <c r="B95" s="66" t="s">
        <v>219</v>
      </c>
      <c r="C95" s="66"/>
      <c r="D95" s="66"/>
      <c r="E95" s="66"/>
      <c r="F95" s="163" t="n">
        <f aca="false">SUM(F89:F94)</f>
        <v>4066.32</v>
      </c>
    </row>
  </sheetData>
  <sheetProtection sheet="true" objects="true" scenarios="true"/>
  <mergeCells count="88">
    <mergeCell ref="B1:F1"/>
    <mergeCell ref="B2:D2"/>
    <mergeCell ref="B3:F3"/>
    <mergeCell ref="B4:F4"/>
    <mergeCell ref="B5:C5"/>
    <mergeCell ref="D5:F5"/>
    <mergeCell ref="B6:C6"/>
    <mergeCell ref="D6:E6"/>
    <mergeCell ref="B7:F7"/>
    <mergeCell ref="C8:E8"/>
    <mergeCell ref="D9:F9"/>
    <mergeCell ref="C10:E10"/>
    <mergeCell ref="C11:E11"/>
    <mergeCell ref="C12:E12"/>
    <mergeCell ref="C14:D14"/>
    <mergeCell ref="E14:F14"/>
    <mergeCell ref="D15:F15"/>
    <mergeCell ref="D16:F16"/>
    <mergeCell ref="C17:E17"/>
    <mergeCell ref="B18:F18"/>
    <mergeCell ref="C20:E20"/>
    <mergeCell ref="C21:E21"/>
    <mergeCell ref="C22:E22"/>
    <mergeCell ref="C23:E23"/>
    <mergeCell ref="C24:E24"/>
    <mergeCell ref="C25:E25"/>
    <mergeCell ref="B26:E26"/>
    <mergeCell ref="C29:D29"/>
    <mergeCell ref="C30:D30"/>
    <mergeCell ref="C31:D31"/>
    <mergeCell ref="B32:E32"/>
    <mergeCell ref="B33:F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B43:E43"/>
    <mergeCell ref="C45:E45"/>
    <mergeCell ref="C46:E46"/>
    <mergeCell ref="C47:E47"/>
    <mergeCell ref="C48:E48"/>
    <mergeCell ref="C49:E49"/>
    <mergeCell ref="C50:E50"/>
    <mergeCell ref="B51:E51"/>
    <mergeCell ref="C53:D53"/>
    <mergeCell ref="C54:D54"/>
    <mergeCell ref="C55:D55"/>
    <mergeCell ref="C56:D56"/>
    <mergeCell ref="C57:D57"/>
    <mergeCell ref="C58:D58"/>
    <mergeCell ref="C59:D59"/>
    <mergeCell ref="B60:E60"/>
    <mergeCell ref="C63:D63"/>
    <mergeCell ref="C64:D64"/>
    <mergeCell ref="C65:D65"/>
    <mergeCell ref="C66:D66"/>
    <mergeCell ref="C67:D67"/>
    <mergeCell ref="C68:D68"/>
    <mergeCell ref="C69:D69"/>
    <mergeCell ref="B70:E70"/>
    <mergeCell ref="C72:E72"/>
    <mergeCell ref="C73:E73"/>
    <mergeCell ref="C74:E74"/>
    <mergeCell ref="C75:E75"/>
    <mergeCell ref="C76:E76"/>
    <mergeCell ref="B77:E77"/>
    <mergeCell ref="B78:F78"/>
    <mergeCell ref="C79:D79"/>
    <mergeCell ref="C80:D80"/>
    <mergeCell ref="C81:D81"/>
    <mergeCell ref="C82:D82"/>
    <mergeCell ref="C83:D83"/>
    <mergeCell ref="C84:D84"/>
    <mergeCell ref="C85:D85"/>
    <mergeCell ref="B86:E86"/>
    <mergeCell ref="C88:E88"/>
    <mergeCell ref="C89:E89"/>
    <mergeCell ref="C90:E90"/>
    <mergeCell ref="C91:E91"/>
    <mergeCell ref="C92:E92"/>
    <mergeCell ref="C93:E93"/>
    <mergeCell ref="C94:E94"/>
    <mergeCell ref="B95:E95"/>
  </mergeCells>
  <conditionalFormatting sqref="F47">
    <cfRule type="cellIs" priority="2" operator="equal" aboveAverage="0" equalAverage="0" bottom="0" percent="0" rank="0" text="" dxfId="1">
      <formula>"Insira o % do PAT"</formula>
    </cfRule>
  </conditionalFormatting>
  <printOptions headings="false" gridLines="false" gridLinesSet="true" horizontalCentered="true" verticalCentered="false"/>
  <pageMargins left="0.0798611111111111" right="0.05" top="0.196527777777778" bottom="0.157638888888889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F96"/>
  <sheetViews>
    <sheetView showFormulas="false" showGridLines="true" showRowColHeaders="true" showZeros="true" rightToLeft="false" tabSelected="false" showOutlineSymbols="true" defaultGridColor="true" view="normal" topLeftCell="B10" colorId="64" zoomScale="100" zoomScaleNormal="100" zoomScalePageLayoutView="100" workbookViewId="0">
      <selection pane="topLeft" activeCell="B1" activeCellId="0" sqref="B1"/>
    </sheetView>
  </sheetViews>
  <sheetFormatPr defaultColWidth="9.1484375" defaultRowHeight="16.5" zeroHeight="false" outlineLevelRow="0" outlineLevelCol="0"/>
  <cols>
    <col collapsed="false" customWidth="true" hidden="false" outlineLevel="0" max="1" min="1" style="1" width="2.71"/>
    <col collapsed="false" customWidth="true" hidden="false" outlineLevel="0" max="2" min="2" style="1" width="8.86"/>
    <col collapsed="false" customWidth="true" hidden="false" outlineLevel="0" max="3" min="3" style="1" width="52.57"/>
    <col collapsed="false" customWidth="true" hidden="false" outlineLevel="0" max="4" min="4" style="1" width="7.86"/>
    <col collapsed="false" customWidth="true" hidden="false" outlineLevel="0" max="5" min="5" style="1" width="13.57"/>
    <col collapsed="false" customWidth="true" hidden="false" outlineLevel="0" max="6" min="6" style="1" width="19.57"/>
    <col collapsed="false" customWidth="false" hidden="false" outlineLevel="0" max="16384" min="7" style="1" width="9.14"/>
  </cols>
  <sheetData>
    <row r="1" customFormat="false" ht="20.25" hidden="false" customHeight="true" outlineLevel="0" collapsed="false">
      <c r="B1" s="120" t="str">
        <f aca="false">RAMO</f>
        <v>RAMO: MINISTÉRIO PÚBLICO FEDERAL – MPF</v>
      </c>
      <c r="C1" s="120"/>
      <c r="D1" s="120"/>
      <c r="E1" s="120"/>
      <c r="F1" s="120"/>
    </row>
    <row r="2" customFormat="false" ht="20.25" hidden="false" customHeight="true" outlineLevel="0" collapsed="false">
      <c r="B2" s="121" t="str">
        <f aca="false">UG</f>
        <v>UNIDADE GESTORA (SIGLA): 200090 (PRPE) </v>
      </c>
      <c r="C2" s="121"/>
      <c r="D2" s="121"/>
      <c r="E2" s="122" t="s">
        <v>3</v>
      </c>
      <c r="F2" s="123" t="n">
        <f aca="false">IF(DATA_DO_ORCAMENTO_ESTIMATIVO="","",DATA_DO_ORCAMENTO_ESTIMATIVO)</f>
        <v>45859</v>
      </c>
    </row>
    <row r="3" s="6" customFormat="true" ht="19.5" hidden="false" customHeight="true" outlineLevel="0" collapsed="false">
      <c r="B3" s="124" t="s">
        <v>220</v>
      </c>
      <c r="C3" s="124"/>
      <c r="D3" s="124"/>
      <c r="E3" s="124"/>
      <c r="F3" s="124"/>
    </row>
    <row r="4" s="6" customFormat="true" ht="15.75" hidden="false" customHeight="true" outlineLevel="0" collapsed="false">
      <c r="B4" s="11" t="s">
        <v>7</v>
      </c>
      <c r="C4" s="11"/>
      <c r="D4" s="11"/>
      <c r="E4" s="11"/>
      <c r="F4" s="11"/>
    </row>
    <row r="5" s="6" customFormat="true" ht="15.75" hidden="false" customHeight="true" outlineLevel="0" collapsed="false">
      <c r="B5" s="13" t="s">
        <v>199</v>
      </c>
      <c r="C5" s="13"/>
      <c r="D5" s="125" t="str">
        <f aca="false">NUMERO_PROCESSO</f>
        <v>X.XX.XXX.XXXXXX/20XX-XX</v>
      </c>
      <c r="E5" s="125"/>
      <c r="F5" s="125"/>
    </row>
    <row r="6" s="6" customFormat="true" ht="15.75" hidden="false" customHeight="true" outlineLevel="0" collapsed="false">
      <c r="B6" s="16" t="s">
        <v>200</v>
      </c>
      <c r="C6" s="16"/>
      <c r="D6" s="126" t="str">
        <f aca="false">MODALIDADE_DE_LICITACAO</f>
        <v>Pregão nº</v>
      </c>
      <c r="E6" s="126"/>
      <c r="F6" s="127" t="str">
        <f aca="false">NUMERO_PREGAO</f>
        <v>XX/20XX</v>
      </c>
    </row>
    <row r="7" s="6" customFormat="true" ht="15.75" hidden="false" customHeight="true" outlineLevel="0" collapsed="false">
      <c r="B7" s="128" t="s">
        <v>201</v>
      </c>
      <c r="C7" s="128"/>
      <c r="D7" s="128"/>
      <c r="E7" s="128"/>
      <c r="F7" s="128"/>
    </row>
    <row r="8" s="6" customFormat="true" ht="18" hidden="false" customHeight="true" outlineLevel="0" collapsed="false">
      <c r="B8" s="28" t="s">
        <v>31</v>
      </c>
      <c r="C8" s="13" t="s">
        <v>32</v>
      </c>
      <c r="D8" s="13"/>
      <c r="E8" s="13"/>
      <c r="F8" s="129" t="str">
        <f aca="false">DATA_APRESENTACAO_PROPOSTA</f>
        <v>XX/XX/20XX</v>
      </c>
    </row>
    <row r="9" s="6" customFormat="true" ht="15.75" hidden="false" customHeight="true" outlineLevel="0" collapsed="false">
      <c r="B9" s="27" t="s">
        <v>34</v>
      </c>
      <c r="C9" s="32" t="s">
        <v>35</v>
      </c>
      <c r="D9" s="108" t="str">
        <f aca="false">IF(LOCAL_DE_EXECUCAO="","",LOCAL_DE_EXECUCAO)</f>
        <v/>
      </c>
      <c r="E9" s="108"/>
      <c r="F9" s="108"/>
    </row>
    <row r="10" s="6" customFormat="true" ht="18.75" hidden="false" customHeight="true" outlineLevel="0" collapsed="false">
      <c r="B10" s="28" t="s">
        <v>37</v>
      </c>
      <c r="C10" s="13" t="s">
        <v>42</v>
      </c>
      <c r="D10" s="13"/>
      <c r="E10" s="13"/>
      <c r="F10" s="130" t="str">
        <f aca="false">ACORDO_COLETIVO</f>
        <v>01/2025</v>
      </c>
    </row>
    <row r="11" s="6" customFormat="true" ht="15.75" hidden="false" customHeight="true" outlineLevel="0" collapsed="false">
      <c r="B11" s="27" t="s">
        <v>41</v>
      </c>
      <c r="C11" s="108" t="s">
        <v>45</v>
      </c>
      <c r="D11" s="108"/>
      <c r="E11" s="108"/>
      <c r="F11" s="76" t="n">
        <f aca="false">NUMERO_MESES_EXEC_CONTRATUAL</f>
        <v>12</v>
      </c>
    </row>
    <row r="12" s="6" customFormat="true" ht="16.5" hidden="false" customHeight="false" outlineLevel="0" collapsed="false">
      <c r="B12" s="27" t="s">
        <v>44</v>
      </c>
      <c r="C12" s="119" t="s">
        <v>221</v>
      </c>
      <c r="D12" s="119"/>
      <c r="E12" s="119"/>
      <c r="F12" s="36" t="str">
        <f aca="false">IF(QTDE_DE_SERV_HOSP=0,"",QTDE_DE_SERV_HOSP)</f>
        <v/>
      </c>
    </row>
    <row r="13" s="131" customFormat="true" ht="15" hidden="false" customHeight="true" outlineLevel="0" collapsed="false">
      <c r="B13" s="132" t="s">
        <v>73</v>
      </c>
      <c r="C13" s="133"/>
      <c r="D13" s="133"/>
      <c r="E13" s="133"/>
      <c r="F13" s="133"/>
    </row>
    <row r="14" s="6" customFormat="true" ht="16.5" hidden="false" customHeight="false" outlineLevel="0" collapsed="false">
      <c r="B14" s="28" t="n">
        <v>1</v>
      </c>
      <c r="C14" s="13" t="s">
        <v>67</v>
      </c>
      <c r="D14" s="13"/>
      <c r="E14" s="36" t="str">
        <f aca="false">TIPO_DE_SERVICO</f>
        <v>Limpeza e Conservação</v>
      </c>
      <c r="F14" s="36"/>
    </row>
    <row r="15" s="6" customFormat="true" ht="16.5" hidden="false" customHeight="true" outlineLevel="0" collapsed="false">
      <c r="B15" s="28" t="n">
        <v>2</v>
      </c>
      <c r="C15" s="57" t="s">
        <v>69</v>
      </c>
      <c r="D15" s="134" t="str">
        <f aca="false">CBO</f>
        <v>5143-20</v>
      </c>
      <c r="E15" s="134"/>
      <c r="F15" s="134"/>
    </row>
    <row r="16" s="6" customFormat="true" ht="15" hidden="false" customHeight="true" outlineLevel="0" collapsed="false">
      <c r="B16" s="28" t="n">
        <v>3</v>
      </c>
      <c r="C16" s="135" t="s">
        <v>203</v>
      </c>
      <c r="D16" s="125" t="str">
        <f aca="false">CATEGORIA_PROFISSIONAL_SERV_HOSP</f>
        <v>Servente - Área Médico Hospitalar</v>
      </c>
      <c r="E16" s="125"/>
      <c r="F16" s="125"/>
    </row>
    <row r="17" s="6" customFormat="true" ht="15" hidden="false" customHeight="true" outlineLevel="0" collapsed="false">
      <c r="B17" s="28" t="n">
        <v>4</v>
      </c>
      <c r="C17" s="16" t="s">
        <v>71</v>
      </c>
      <c r="D17" s="16"/>
      <c r="E17" s="16"/>
      <c r="F17" s="167" t="n">
        <f aca="false">DATA_BASE_CATEGORIA</f>
        <v>45658</v>
      </c>
    </row>
    <row r="18" s="138" customFormat="true" ht="20.25" hidden="false" customHeight="true" outlineLevel="0" collapsed="false">
      <c r="B18" s="139" t="s">
        <v>204</v>
      </c>
      <c r="C18" s="139"/>
      <c r="D18" s="139"/>
      <c r="E18" s="139"/>
      <c r="F18" s="139"/>
    </row>
    <row r="19" customFormat="false" ht="16.5" hidden="false" customHeight="false" outlineLevel="0" collapsed="false">
      <c r="B19" s="64" t="s">
        <v>74</v>
      </c>
      <c r="E19" s="65"/>
      <c r="F19" s="65"/>
    </row>
    <row r="20" customFormat="false" ht="16.5" hidden="false" customHeight="true" outlineLevel="0" collapsed="false">
      <c r="B20" s="27" t="n">
        <v>1</v>
      </c>
      <c r="C20" s="66" t="s">
        <v>75</v>
      </c>
      <c r="D20" s="66"/>
      <c r="E20" s="66"/>
      <c r="F20" s="15" t="s">
        <v>107</v>
      </c>
    </row>
    <row r="21" customFormat="false" ht="16.5" hidden="false" customHeight="true" outlineLevel="0" collapsed="false">
      <c r="B21" s="27" t="s">
        <v>31</v>
      </c>
      <c r="C21" s="104" t="s">
        <v>205</v>
      </c>
      <c r="D21" s="104"/>
      <c r="E21" s="104"/>
      <c r="F21" s="140" t="n">
        <f aca="false">SALARIO_NORMATIVO_SERV_HOSP</f>
        <v>0</v>
      </c>
    </row>
    <row r="22" customFormat="false" ht="16.5" hidden="false" customHeight="true" outlineLevel="0" collapsed="false">
      <c r="B22" s="27" t="s">
        <v>34</v>
      </c>
      <c r="C22" s="34" t="s">
        <v>206</v>
      </c>
      <c r="D22" s="34"/>
      <c r="E22" s="34"/>
      <c r="F22" s="141" t="n">
        <f aca="false">IF(AND(ADIC_INSALUB_SERV_HOSP="SIM",BC_ADIC_INSALUB="CCT"),PERC_ADIC_INSALUB%*SALARIO_NORMATIVO_SERV_HOSP,IF(AND(ADIC_INSALUB_SERV_HOSP="SIM",BC_ADIC_INSALUB="Salário Mínimo"),PERC_ADIC_INSALUB%*SAL_MINIMO,0))</f>
        <v>0</v>
      </c>
    </row>
    <row r="23" customFormat="false" ht="16.5" hidden="false" customHeight="false" outlineLevel="0" collapsed="false">
      <c r="B23" s="27" t="s">
        <v>37</v>
      </c>
      <c r="C23" s="104" t="str">
        <f aca="false">OUTROS_REMUNERACAO_1_DESCRICAO</f>
        <v>Outras Remunerações 1 (Especificar)</v>
      </c>
      <c r="D23" s="104"/>
      <c r="E23" s="104"/>
      <c r="F23" s="140" t="n">
        <f aca="false">OUTROS_REMUNERACAO_1</f>
        <v>0</v>
      </c>
    </row>
    <row r="24" customFormat="false" ht="15.75" hidden="false" customHeight="true" outlineLevel="0" collapsed="false">
      <c r="B24" s="27" t="s">
        <v>41</v>
      </c>
      <c r="C24" s="67" t="str">
        <f aca="false">OUTROS_REMUNERACAO_2_DESCRICAO</f>
        <v>Outras Remunerações 2 (Especificar)</v>
      </c>
      <c r="D24" s="67"/>
      <c r="E24" s="67"/>
      <c r="F24" s="141" t="n">
        <f aca="false">OUTROS_REMUNERACAO_2</f>
        <v>0</v>
      </c>
    </row>
    <row r="25" customFormat="false" ht="15.75" hidden="false" customHeight="true" outlineLevel="0" collapsed="false">
      <c r="B25" s="27" t="s">
        <v>44</v>
      </c>
      <c r="C25" s="104" t="str">
        <f aca="false">OUTROS_REMUNERACAO_3_DESCRICAO</f>
        <v>Outras Remunerações 3 (Especificar)</v>
      </c>
      <c r="D25" s="104"/>
      <c r="E25" s="104"/>
      <c r="F25" s="140" t="n">
        <f aca="false">OUTROS_REMUNERACAO_3</f>
        <v>0</v>
      </c>
    </row>
    <row r="26" customFormat="false" ht="15.75" hidden="false" customHeight="true" outlineLevel="0" collapsed="false">
      <c r="B26" s="66" t="s">
        <v>15</v>
      </c>
      <c r="C26" s="66"/>
      <c r="D26" s="66"/>
      <c r="E26" s="66"/>
      <c r="F26" s="142" t="n">
        <f aca="false">SUM(F21:F25)</f>
        <v>0</v>
      </c>
    </row>
    <row r="27" customFormat="false" ht="16.5" hidden="false" customHeight="false" outlineLevel="0" collapsed="false">
      <c r="B27" s="64" t="s">
        <v>81</v>
      </c>
      <c r="E27" s="72"/>
      <c r="F27" s="72"/>
    </row>
    <row r="28" customFormat="false" ht="16.5" hidden="false" customHeight="false" outlineLevel="0" collapsed="false">
      <c r="B28" s="64" t="s">
        <v>157</v>
      </c>
      <c r="C28" s="81"/>
      <c r="D28" s="40"/>
      <c r="E28" s="82"/>
      <c r="F28" s="82"/>
    </row>
    <row r="29" customFormat="false" ht="16.5" hidden="false" customHeight="false" outlineLevel="0" collapsed="false">
      <c r="B29" s="27" t="s">
        <v>158</v>
      </c>
      <c r="C29" s="93" t="s">
        <v>159</v>
      </c>
      <c r="D29" s="93"/>
      <c r="E29" s="15" t="s">
        <v>103</v>
      </c>
      <c r="F29" s="15" t="s">
        <v>107</v>
      </c>
    </row>
    <row r="30" customFormat="false" ht="16.5" hidden="false" customHeight="true" outlineLevel="0" collapsed="false">
      <c r="B30" s="27" t="s">
        <v>31</v>
      </c>
      <c r="C30" s="94" t="s">
        <v>161</v>
      </c>
      <c r="D30" s="94"/>
      <c r="E30" s="143" t="n">
        <f aca="false">PERC_DEC_TERC</f>
        <v>8.33</v>
      </c>
      <c r="F30" s="144" t="n">
        <f aca="false">PERC_DEC_TERC%*MOD_1_REMUNERACAO_SERV_HOSP</f>
        <v>0</v>
      </c>
    </row>
    <row r="31" customFormat="false" ht="16.5" hidden="false" customHeight="true" outlineLevel="0" collapsed="false">
      <c r="B31" s="15" t="s">
        <v>34</v>
      </c>
      <c r="C31" s="34" t="s">
        <v>163</v>
      </c>
      <c r="D31" s="34"/>
      <c r="E31" s="145" t="n">
        <f aca="false">PERC_ADIC_FERIAS</f>
        <v>2.78</v>
      </c>
      <c r="F31" s="146" t="n">
        <f aca="false">PERC_ADIC_FERIAS%*MOD_1_REMUNERACAO_SERV_HOSP</f>
        <v>0</v>
      </c>
    </row>
    <row r="32" customFormat="false" ht="16.5" hidden="false" customHeight="false" outlineLevel="0" collapsed="false">
      <c r="B32" s="93" t="s">
        <v>15</v>
      </c>
      <c r="C32" s="93"/>
      <c r="D32" s="93"/>
      <c r="E32" s="93"/>
      <c r="F32" s="147" t="n">
        <f aca="false">SUM(F30:F31)</f>
        <v>0</v>
      </c>
    </row>
    <row r="33" customFormat="false" ht="31.3" hidden="false" customHeight="true" outlineLevel="0" collapsed="false">
      <c r="B33" s="148" t="s">
        <v>165</v>
      </c>
      <c r="C33" s="148"/>
      <c r="D33" s="148"/>
      <c r="E33" s="148"/>
      <c r="F33" s="148"/>
    </row>
    <row r="34" customFormat="false" ht="31.3" hidden="false" customHeight="true" outlineLevel="0" collapsed="false">
      <c r="B34" s="27" t="s">
        <v>83</v>
      </c>
      <c r="C34" s="115" t="s">
        <v>166</v>
      </c>
      <c r="D34" s="115"/>
      <c r="E34" s="15" t="s">
        <v>103</v>
      </c>
      <c r="F34" s="15" t="s">
        <v>107</v>
      </c>
    </row>
    <row r="35" customFormat="false" ht="16.5" hidden="false" customHeight="true" outlineLevel="0" collapsed="false">
      <c r="B35" s="27" t="s">
        <v>31</v>
      </c>
      <c r="C35" s="94" t="s">
        <v>167</v>
      </c>
      <c r="D35" s="94"/>
      <c r="E35" s="143" t="n">
        <f aca="false">PERC_INSS</f>
        <v>20</v>
      </c>
      <c r="F35" s="144" t="n">
        <f aca="false">PERC_INSS%*(MOD_1_REMUNERACAO_SERV_HOSP+SUBMOD_2_1_DEC_TERC_ADIC_FERIAS_SERV_HOSP)</f>
        <v>0</v>
      </c>
    </row>
    <row r="36" s="71" customFormat="true" ht="16.5" hidden="false" customHeight="true" outlineLevel="0" collapsed="false">
      <c r="B36" s="15" t="s">
        <v>34</v>
      </c>
      <c r="C36" s="34" t="s">
        <v>168</v>
      </c>
      <c r="D36" s="34"/>
      <c r="E36" s="145" t="n">
        <f aca="false">PERC_SAL_EDUCACAO</f>
        <v>2.5</v>
      </c>
      <c r="F36" s="146" t="n">
        <f aca="false">PERC_SAL_EDUCACAO%*(MOD_1_REMUNERACAO_SERV_HOSP+SUBMOD_2_1_DEC_TERC_ADIC_FERIAS_SERV_HOSP)</f>
        <v>0</v>
      </c>
    </row>
    <row r="37" s="71" customFormat="true" ht="16.5" hidden="false" customHeight="true" outlineLevel="0" collapsed="false">
      <c r="B37" s="15" t="s">
        <v>37</v>
      </c>
      <c r="C37" s="94" t="s">
        <v>218</v>
      </c>
      <c r="D37" s="94"/>
      <c r="E37" s="143" t="n">
        <f aca="false">PERC_RAT</f>
        <v>3</v>
      </c>
      <c r="F37" s="144" t="n">
        <f aca="false">PERC_RAT%*(MOD_1_REMUNERACAO_SERV_HOSP+SUBMOD_2_1_DEC_TERC_ADIC_FERIAS_SERV_HOSP)</f>
        <v>0</v>
      </c>
    </row>
    <row r="38" s="71" customFormat="true" ht="16.5" hidden="false" customHeight="true" outlineLevel="0" collapsed="false">
      <c r="B38" s="15" t="s">
        <v>41</v>
      </c>
      <c r="C38" s="34" t="s">
        <v>170</v>
      </c>
      <c r="D38" s="34"/>
      <c r="E38" s="145" t="n">
        <f aca="false">PERC_SESC</f>
        <v>1.5</v>
      </c>
      <c r="F38" s="146" t="n">
        <f aca="false">PERC_SESC%*(MOD_1_REMUNERACAO_SERV_HOSP+SUBMOD_2_1_DEC_TERC_ADIC_FERIAS_SERV_HOSP)</f>
        <v>0</v>
      </c>
    </row>
    <row r="39" customFormat="false" ht="16.5" hidden="false" customHeight="true" outlineLevel="0" collapsed="false">
      <c r="B39" s="15" t="s">
        <v>44</v>
      </c>
      <c r="C39" s="94" t="s">
        <v>171</v>
      </c>
      <c r="D39" s="94"/>
      <c r="E39" s="143" t="n">
        <f aca="false">PERC_SENAC</f>
        <v>1</v>
      </c>
      <c r="F39" s="144" t="n">
        <f aca="false">PERC_SENAC%*(MOD_1_REMUNERACAO_SERV_HOSP+SUBMOD_2_1_DEC_TERC_ADIC_FERIAS_SERV_HOSP)</f>
        <v>0</v>
      </c>
    </row>
    <row r="40" s="6" customFormat="true" ht="16.5" hidden="false" customHeight="true" outlineLevel="0" collapsed="false">
      <c r="B40" s="15" t="s">
        <v>97</v>
      </c>
      <c r="C40" s="34" t="s">
        <v>172</v>
      </c>
      <c r="D40" s="34"/>
      <c r="E40" s="145" t="n">
        <f aca="false">PERC_SEBRAE</f>
        <v>0.6</v>
      </c>
      <c r="F40" s="146" t="n">
        <f aca="false">PERC_SEBRAE%*(MOD_1_REMUNERACAO_SERV_HOSP+SUBMOD_2_1_DEC_TERC_ADIC_FERIAS_SERV_HOSP)</f>
        <v>0</v>
      </c>
    </row>
    <row r="41" s="6" customFormat="true" ht="16.5" hidden="false" customHeight="true" outlineLevel="0" collapsed="false">
      <c r="B41" s="15" t="s">
        <v>132</v>
      </c>
      <c r="C41" s="94" t="s">
        <v>173</v>
      </c>
      <c r="D41" s="94"/>
      <c r="E41" s="143" t="n">
        <f aca="false">PERC_INCRA</f>
        <v>0.2</v>
      </c>
      <c r="F41" s="144" t="n">
        <f aca="false">PERC_INCRA%*(MOD_1_REMUNERACAO_SERV_HOSP+SUBMOD_2_1_DEC_TERC_ADIC_FERIAS_SERV_HOSP)</f>
        <v>0</v>
      </c>
    </row>
    <row r="42" s="6" customFormat="true" ht="16.5" hidden="false" customHeight="true" outlineLevel="0" collapsed="false">
      <c r="B42" s="15" t="s">
        <v>134</v>
      </c>
      <c r="C42" s="34" t="s">
        <v>174</v>
      </c>
      <c r="D42" s="34"/>
      <c r="E42" s="145" t="n">
        <f aca="false">PERC_FGTS</f>
        <v>8</v>
      </c>
      <c r="F42" s="146" t="n">
        <f aca="false">PERC_FGTS%*(MOD_1_REMUNERACAO_SERV_HOSP+SUBMOD_2_1_DEC_TERC_ADIC_FERIAS_SERV_HOSP)</f>
        <v>0</v>
      </c>
    </row>
    <row r="43" s="6" customFormat="true" ht="16.5" hidden="false" customHeight="false" outlineLevel="0" collapsed="false">
      <c r="B43" s="93" t="s">
        <v>15</v>
      </c>
      <c r="C43" s="93"/>
      <c r="D43" s="93"/>
      <c r="E43" s="93"/>
      <c r="F43" s="142" t="n">
        <f aca="false">SUM(F35:F42)</f>
        <v>0</v>
      </c>
    </row>
    <row r="44" s="6" customFormat="true" ht="16.5" hidden="false" customHeight="false" outlineLevel="0" collapsed="false">
      <c r="B44" s="64" t="s">
        <v>87</v>
      </c>
    </row>
    <row r="45" s="6" customFormat="true" ht="16.5" hidden="false" customHeight="true" outlineLevel="0" collapsed="false">
      <c r="B45" s="27" t="s">
        <v>88</v>
      </c>
      <c r="C45" s="66" t="s">
        <v>89</v>
      </c>
      <c r="D45" s="66"/>
      <c r="E45" s="66"/>
      <c r="F45" s="15" t="s">
        <v>107</v>
      </c>
    </row>
    <row r="46" customFormat="false" ht="16.5" hidden="false" customHeight="true" outlineLevel="0" collapsed="false">
      <c r="B46" s="28" t="s">
        <v>31</v>
      </c>
      <c r="C46" s="94" t="s">
        <v>91</v>
      </c>
      <c r="D46" s="94"/>
      <c r="E46" s="94"/>
      <c r="F46" s="144" t="n">
        <f aca="false">IF(((TRANSPORTE_POR_DIA*DIAS_TRABALHADOS_NO_MES)-(PERC_DESC_TRANSP_REMUNERACAO%*(AL_1_A_SAL_BASE_SERV_HOSP)))&gt;0,((TRANSPORTE_POR_DIA*DIAS_TRABALHADOS_NO_MES)-(PERC_DESC_TRANSP_REMUNERACAO%*(AL_1_A_SAL_BASE_SERV_HOSP))),0)</f>
        <v>180.6</v>
      </c>
    </row>
    <row r="47" customFormat="false" ht="16.5" hidden="false" customHeight="true" outlineLevel="0" collapsed="false">
      <c r="B47" s="28" t="s">
        <v>34</v>
      </c>
      <c r="C47" s="34" t="s">
        <v>93</v>
      </c>
      <c r="D47" s="34"/>
      <c r="E47" s="34"/>
      <c r="F47" s="146" t="n">
        <f aca="false">IF(ADESAO_AO_PAT="Sim",ALIMENTACAO_POR_DIA*DIAS_TRABALHADOS_NO_MES*PERC_PAT%,ALIMENTACAO_POR_DIA*DIAS_TRABALHADOS_NO_MES)</f>
        <v>315</v>
      </c>
    </row>
    <row r="48" customFormat="false" ht="15.75" hidden="false" customHeight="true" outlineLevel="0" collapsed="false">
      <c r="B48" s="28" t="s">
        <v>37</v>
      </c>
      <c r="C48" s="104" t="str">
        <f aca="false">OUTROS_BENEFICIOS_1_DESCRICAO</f>
        <v>Cesta básica (CCT)</v>
      </c>
      <c r="D48" s="104"/>
      <c r="E48" s="104"/>
      <c r="F48" s="146" t="n">
        <f aca="false">IF(AND(ADESAO_AO_PAT="Sim",PERC_PAT&lt;&gt;""),ALIMENTACAO_POR_DIA*DIAS_TRABALHADOS_NO_MES*(100-PERC_PAT)%,IF(AND(ADESAO_AO_PAT="Sim",PERC_PAT=""),"Insira o % do PAT",ALIMENTACAO_POR_DIA*DIAS_TRABALHADOS_NO_MES))</f>
        <v>315</v>
      </c>
    </row>
    <row r="49" customFormat="false" ht="15.75" hidden="false" customHeight="true" outlineLevel="0" collapsed="false">
      <c r="B49" s="28" t="s">
        <v>41</v>
      </c>
      <c r="C49" s="67" t="str">
        <f aca="false">OUTROS_BENEFICIOS_2_DESCRICAO</f>
        <v>Cobertura social (CCT)</v>
      </c>
      <c r="D49" s="67"/>
      <c r="E49" s="67"/>
      <c r="F49" s="146" t="n">
        <f aca="false">OUTROS_BENEFICIOS_2</f>
        <v>78.59</v>
      </c>
    </row>
    <row r="50" customFormat="false" ht="16.5" hidden="false" customHeight="false" outlineLevel="0" collapsed="false">
      <c r="B50" s="28" t="s">
        <v>44</v>
      </c>
      <c r="C50" s="104" t="str">
        <f aca="false">OUTROS_BENEFICIOS_3_DESCRICAO</f>
        <v>Outros Benefícios 3 (Especificar)</v>
      </c>
      <c r="D50" s="104"/>
      <c r="E50" s="104"/>
      <c r="F50" s="144" t="n">
        <f aca="false">OUTROS_BENEFICIOS_3</f>
        <v>0</v>
      </c>
    </row>
    <row r="51" s="71" customFormat="true" ht="16.5" hidden="false" customHeight="true" outlineLevel="0" collapsed="false">
      <c r="B51" s="66" t="s">
        <v>15</v>
      </c>
      <c r="C51" s="66"/>
      <c r="D51" s="66"/>
      <c r="E51" s="66"/>
      <c r="F51" s="142" t="n">
        <f aca="false">SUM(F46:F50)</f>
        <v>889.19</v>
      </c>
    </row>
    <row r="52" s="71" customFormat="true" ht="16.5" hidden="false" customHeight="false" outlineLevel="0" collapsed="false">
      <c r="B52" s="64" t="s">
        <v>140</v>
      </c>
      <c r="C52" s="81"/>
      <c r="D52" s="40"/>
      <c r="E52" s="82"/>
      <c r="F52" s="82"/>
    </row>
    <row r="53" s="71" customFormat="true" ht="16.5" hidden="false" customHeight="false" outlineLevel="0" collapsed="false">
      <c r="B53" s="27" t="n">
        <v>3</v>
      </c>
      <c r="C53" s="93" t="s">
        <v>141</v>
      </c>
      <c r="D53" s="93"/>
      <c r="E53" s="15" t="s">
        <v>103</v>
      </c>
      <c r="F53" s="15" t="s">
        <v>107</v>
      </c>
    </row>
    <row r="54" s="71" customFormat="true" ht="16.5" hidden="false" customHeight="false" outlineLevel="0" collapsed="false">
      <c r="B54" s="27" t="s">
        <v>31</v>
      </c>
      <c r="C54" s="117" t="s">
        <v>175</v>
      </c>
      <c r="D54" s="117"/>
      <c r="E54" s="143" t="n">
        <f aca="false">PERC_AVISO_PREVIO_IND</f>
        <v>0.26</v>
      </c>
      <c r="F54" s="144" t="n">
        <f aca="false">PERC_AVISO_PREVIO_IND%*(MOD_1_REMUNERACAO_SERV_HOSP+SUBMOD_2_1_DEC_TERC_ADIC_FERIAS_SERV_HOSP)</f>
        <v>0</v>
      </c>
    </row>
    <row r="55" s="71" customFormat="true" ht="15" hidden="false" customHeight="true" outlineLevel="0" collapsed="false">
      <c r="B55" s="15" t="s">
        <v>34</v>
      </c>
      <c r="C55" s="118" t="s">
        <v>177</v>
      </c>
      <c r="D55" s="118"/>
      <c r="E55" s="145" t="n">
        <f aca="false">INCID_FGTS_SOBRE_API</f>
        <v>0.02</v>
      </c>
      <c r="F55" s="146" t="n">
        <f aca="false">INCID_FGTS_SOBRE_API%*(MOD_1_REMUNERACAO_SERV_HOSP+SUBMOD_2_1_DEC_TERC_ADIC_FERIAS_SERV_HOSP)</f>
        <v>0</v>
      </c>
    </row>
    <row r="56" s="71" customFormat="true" ht="16.5" hidden="false" customHeight="false" outlineLevel="0" collapsed="false">
      <c r="B56" s="15" t="s">
        <v>37</v>
      </c>
      <c r="C56" s="119" t="s">
        <v>179</v>
      </c>
      <c r="D56" s="119"/>
      <c r="E56" s="143" t="n">
        <f aca="false">PERC_MULTA_FGTS_AV_PREV_IND</f>
        <v>0.1</v>
      </c>
      <c r="F56" s="144" t="n">
        <f aca="false">PERC_MULTA_FGTS_AV_PREV_IND%*(MOD_1_REMUNERACAO_SERV_HOSP+SUBMOD_2_1_DEC_TERC_ADIC_FERIAS_SERV_HOSP)</f>
        <v>0</v>
      </c>
    </row>
    <row r="57" s="71" customFormat="true" ht="16.5" hidden="false" customHeight="false" outlineLevel="0" collapsed="false">
      <c r="B57" s="15" t="s">
        <v>41</v>
      </c>
      <c r="C57" s="118" t="s">
        <v>181</v>
      </c>
      <c r="D57" s="118"/>
      <c r="E57" s="145" t="n">
        <f aca="false">PERC_AVISO_PREVIO_TRAB</f>
        <v>1.03</v>
      </c>
      <c r="F57" s="146" t="n">
        <f aca="false">PERC_AVISO_PREVIO_TRAB%*(MOD_1_REMUNERACAO_SERV_HOSP+SUBMOD_2_1_DEC_TERC_ADIC_FERIAS_SERV_HOSP)</f>
        <v>0</v>
      </c>
    </row>
    <row r="58" s="71" customFormat="true" ht="16.5" hidden="false" customHeight="true" outlineLevel="0" collapsed="false">
      <c r="B58" s="15" t="s">
        <v>44</v>
      </c>
      <c r="C58" s="119" t="s">
        <v>207</v>
      </c>
      <c r="D58" s="119"/>
      <c r="E58" s="143" t="n">
        <f aca="false">INCID_SUBMOD_2_2_APT</f>
        <v>0.38</v>
      </c>
      <c r="F58" s="144" t="n">
        <f aca="false">INCID_SUBMOD_2_2_APT%*(MOD_1_REMUNERACAO_SERV_HOSP+SUBMOD_2_1_DEC_TERC_ADIC_FERIAS_SERV_HOSP)</f>
        <v>0</v>
      </c>
    </row>
    <row r="59" s="6" customFormat="true" ht="16.5" hidden="false" customHeight="false" outlineLevel="0" collapsed="false">
      <c r="B59" s="15" t="s">
        <v>97</v>
      </c>
      <c r="C59" s="118" t="s">
        <v>185</v>
      </c>
      <c r="D59" s="118"/>
      <c r="E59" s="145" t="n">
        <f aca="false">PERC_MULTA_FGTS_AV_PREV_TRAB</f>
        <v>1.7</v>
      </c>
      <c r="F59" s="146" t="n">
        <f aca="false">PERC_MULTA_FGTS_AV_PREV_TRAB%*(MOD_1_REMUNERACAO_SERV_HOSP+SUBMOD_2_1_DEC_TERC_ADIC_FERIAS_SERV_HOSP)</f>
        <v>0</v>
      </c>
    </row>
    <row r="60" s="6" customFormat="true" ht="16.5" hidden="false" customHeight="false" outlineLevel="0" collapsed="false">
      <c r="B60" s="93" t="s">
        <v>15</v>
      </c>
      <c r="C60" s="93"/>
      <c r="D60" s="93"/>
      <c r="E60" s="93"/>
      <c r="F60" s="147" t="n">
        <f aca="false">SUM(F54:F56)</f>
        <v>0</v>
      </c>
    </row>
    <row r="61" s="6" customFormat="true" ht="16.5" hidden="false" customHeight="false" outlineLevel="0" collapsed="false">
      <c r="B61" s="64" t="s">
        <v>99</v>
      </c>
      <c r="C61" s="81"/>
      <c r="D61" s="40"/>
      <c r="E61" s="1"/>
      <c r="F61" s="1"/>
    </row>
    <row r="62" s="6" customFormat="true" ht="16.5" hidden="false" customHeight="false" outlineLevel="0" collapsed="false">
      <c r="B62" s="64" t="s">
        <v>100</v>
      </c>
      <c r="C62" s="81"/>
      <c r="D62" s="40"/>
      <c r="E62" s="82"/>
      <c r="F62" s="82"/>
    </row>
    <row r="63" s="6" customFormat="true" ht="16.5" hidden="false" customHeight="true" outlineLevel="0" collapsed="false">
      <c r="B63" s="27" t="s">
        <v>101</v>
      </c>
      <c r="C63" s="66" t="s">
        <v>102</v>
      </c>
      <c r="D63" s="66"/>
      <c r="E63" s="15" t="s">
        <v>103</v>
      </c>
      <c r="F63" s="15" t="s">
        <v>107</v>
      </c>
    </row>
    <row r="64" customFormat="false" ht="16.5" hidden="false" customHeight="true" outlineLevel="0" collapsed="false">
      <c r="B64" s="15" t="s">
        <v>31</v>
      </c>
      <c r="C64" s="94" t="s">
        <v>187</v>
      </c>
      <c r="D64" s="94"/>
      <c r="E64" s="143" t="n">
        <f aca="false">PERC_SUBSTITUTO_FERIAS</f>
        <v>8.33</v>
      </c>
      <c r="F64" s="144" t="n">
        <f aca="false">PERC_SUBSTITUTO_FERIAS%*(MOD_1_REMUNERACAO_SERV_HOSP+MOD_2_ENCARGOS_BENEFICIOS_SERV_HOSP)</f>
        <v>74.07</v>
      </c>
    </row>
    <row r="65" s="6" customFormat="true" ht="15.75" hidden="false" customHeight="true" outlineLevel="0" collapsed="false">
      <c r="B65" s="15" t="s">
        <v>34</v>
      </c>
      <c r="C65" s="34" t="s">
        <v>189</v>
      </c>
      <c r="D65" s="34"/>
      <c r="E65" s="145" t="n">
        <f aca="false">PERC_SUBSTITUTO_AUSENCIAS_LEGAIS</f>
        <v>2.22</v>
      </c>
      <c r="F65" s="146" t="n">
        <f aca="false">PERC_SUBSTITUTO_AUSENCIAS_LEGAIS%*(MOD_1_REMUNERACAO_SERV_HOSP+MOD_2_ENCARGOS_BENEFICIOS_SERV_HOSP)</f>
        <v>19.74</v>
      </c>
    </row>
    <row r="66" s="6" customFormat="true" ht="15.75" hidden="false" customHeight="true" outlineLevel="0" collapsed="false">
      <c r="B66" s="15" t="s">
        <v>37</v>
      </c>
      <c r="C66" s="94" t="s">
        <v>191</v>
      </c>
      <c r="D66" s="94"/>
      <c r="E66" s="143" t="n">
        <f aca="false">PERC_SUBSTITUTO_LICENCA_PATERNIDADE</f>
        <v>0.01</v>
      </c>
      <c r="F66" s="144" t="n">
        <f aca="false">PERC_SUBSTITUTO_LICENCA_PATERNIDADE%*(MOD_1_REMUNERACAO_SERV_HOSP+MOD_2_ENCARGOS_BENEFICIOS_SERV_HOSP)</f>
        <v>0.09</v>
      </c>
    </row>
    <row r="67" s="6" customFormat="true" ht="16.5" hidden="false" customHeight="true" outlineLevel="0" collapsed="false">
      <c r="B67" s="15" t="s">
        <v>41</v>
      </c>
      <c r="C67" s="34" t="s">
        <v>193</v>
      </c>
      <c r="D67" s="34"/>
      <c r="E67" s="145" t="n">
        <f aca="false">PERC_SUBSTITUTO_ACID_TRAB</f>
        <v>0.02</v>
      </c>
      <c r="F67" s="146" t="n">
        <f aca="false">PERC_SUBSTITUTO_ACID_TRAB%*(MOD_1_REMUNERACAO_SERV_HOSP+MOD_2_ENCARGOS_BENEFICIOS_SERV_HOSP)</f>
        <v>0.18</v>
      </c>
    </row>
    <row r="68" s="6" customFormat="true" ht="15.75" hidden="false" customHeight="true" outlineLevel="0" collapsed="false">
      <c r="B68" s="15" t="s">
        <v>44</v>
      </c>
      <c r="C68" s="94" t="s">
        <v>195</v>
      </c>
      <c r="D68" s="94"/>
      <c r="E68" s="143" t="n">
        <f aca="false">PERC_SUBSTITUTO_AFAST_MATERN</f>
        <v>0.1</v>
      </c>
      <c r="F68" s="144" t="n">
        <f aca="false">PERC_SUBSTITUTO_AFAST_MATERN%*(MOD_1_REMUNERACAO_SERV_HOSP+MOD_2_ENCARGOS_BENEFICIOS_SERV_HOSP)</f>
        <v>0.89</v>
      </c>
    </row>
    <row r="69" s="6" customFormat="true" ht="15.75" hidden="false" customHeight="true" outlineLevel="0" collapsed="false">
      <c r="B69" s="15" t="s">
        <v>97</v>
      </c>
      <c r="C69" s="149" t="str">
        <f aca="false">OUTRAS_AUSENCIAS_DESCRICAO</f>
        <v>Outras Ausências (Especificar em %)</v>
      </c>
      <c r="D69" s="149"/>
      <c r="E69" s="150" t="n">
        <f aca="false">PERC_SUBSTITUTO_OUTRAS_AUSENCIAS</f>
        <v>0</v>
      </c>
      <c r="F69" s="146" t="n">
        <f aca="false">PERC_SUBSTITUTO_OUTRAS_AUSENCIAS%*(MOD_1_REMUNERACAO_SERV_HOSP+MOD_2_ENCARGOS_BENEFICIOS_SERV_HOSP)</f>
        <v>0</v>
      </c>
    </row>
    <row r="70" s="6" customFormat="true" ht="15.75" hidden="false" customHeight="true" outlineLevel="0" collapsed="false">
      <c r="B70" s="93" t="s">
        <v>15</v>
      </c>
      <c r="C70" s="93"/>
      <c r="D70" s="93"/>
      <c r="E70" s="93"/>
      <c r="F70" s="147" t="n">
        <f aca="false">SUM(F64:F69)</f>
        <v>94.97</v>
      </c>
    </row>
    <row r="71" s="6" customFormat="true" ht="16.5" hidden="false" customHeight="false" outlineLevel="0" collapsed="false">
      <c r="B71" s="64" t="s">
        <v>105</v>
      </c>
      <c r="C71" s="81"/>
      <c r="D71" s="81"/>
      <c r="E71" s="82"/>
      <c r="F71" s="82"/>
    </row>
    <row r="72" s="6" customFormat="true" ht="16.5" hidden="false" customHeight="true" outlineLevel="0" collapsed="false">
      <c r="B72" s="84" t="n">
        <v>5</v>
      </c>
      <c r="C72" s="85" t="s">
        <v>106</v>
      </c>
      <c r="D72" s="85"/>
      <c r="E72" s="85"/>
      <c r="F72" s="86" t="s">
        <v>107</v>
      </c>
    </row>
    <row r="73" s="6" customFormat="true" ht="16.5" hidden="false" customHeight="true" outlineLevel="0" collapsed="false">
      <c r="B73" s="87" t="s">
        <v>31</v>
      </c>
      <c r="C73" s="88" t="s">
        <v>108</v>
      </c>
      <c r="D73" s="88"/>
      <c r="E73" s="88"/>
      <c r="F73" s="151" t="n">
        <f aca="false">UNIFORMES</f>
        <v>53.33</v>
      </c>
    </row>
    <row r="74" customFormat="false" ht="16.5" hidden="false" customHeight="true" outlineLevel="0" collapsed="false">
      <c r="B74" s="87" t="s">
        <v>34</v>
      </c>
      <c r="C74" s="90" t="s">
        <v>109</v>
      </c>
      <c r="D74" s="90"/>
      <c r="E74" s="90"/>
      <c r="F74" s="152" t="n">
        <f aca="false">MATERIAIS</f>
        <v>19.36</v>
      </c>
    </row>
    <row r="75" customFormat="false" ht="16.5" hidden="false" customHeight="true" outlineLevel="0" collapsed="false">
      <c r="B75" s="87" t="s">
        <v>37</v>
      </c>
      <c r="C75" s="88" t="s">
        <v>110</v>
      </c>
      <c r="D75" s="88"/>
      <c r="E75" s="88"/>
      <c r="F75" s="151" t="n">
        <f aca="false">EQUIPAMENTOS</f>
        <v>17.63</v>
      </c>
    </row>
    <row r="76" customFormat="false" ht="15.75" hidden="false" customHeight="true" outlineLevel="0" collapsed="false">
      <c r="B76" s="87" t="s">
        <v>41</v>
      </c>
      <c r="C76" s="153" t="str">
        <f aca="false">OUTROS_INSUMOS_DESCRICAO</f>
        <v>Outros Insumos (Especificar)</v>
      </c>
      <c r="D76" s="153"/>
      <c r="E76" s="153"/>
      <c r="F76" s="152" t="n">
        <f aca="false">OUTROS_INSUMOS</f>
        <v>0</v>
      </c>
    </row>
    <row r="77" customFormat="false" ht="16.5" hidden="false" customHeight="true" outlineLevel="0" collapsed="false">
      <c r="B77" s="85" t="s">
        <v>15</v>
      </c>
      <c r="C77" s="85"/>
      <c r="D77" s="85"/>
      <c r="E77" s="85"/>
      <c r="F77" s="154" t="n">
        <f aca="false">SUM(F73:F76)</f>
        <v>90.32</v>
      </c>
    </row>
    <row r="78" customFormat="false" ht="16.5" hidden="false" customHeight="true" outlineLevel="0" collapsed="false">
      <c r="B78" s="92" t="s">
        <v>112</v>
      </c>
      <c r="C78" s="92"/>
      <c r="D78" s="92"/>
      <c r="E78" s="92"/>
      <c r="F78" s="92"/>
    </row>
    <row r="79" customFormat="false" ht="16.5" hidden="false" customHeight="false" outlineLevel="0" collapsed="false">
      <c r="B79" s="27" t="n">
        <v>6</v>
      </c>
      <c r="C79" s="93" t="s">
        <v>113</v>
      </c>
      <c r="D79" s="93"/>
      <c r="E79" s="15" t="s">
        <v>103</v>
      </c>
      <c r="F79" s="15" t="s">
        <v>107</v>
      </c>
    </row>
    <row r="80" customFormat="false" ht="16.5" hidden="false" customHeight="true" outlineLevel="0" collapsed="false">
      <c r="B80" s="27" t="s">
        <v>31</v>
      </c>
      <c r="C80" s="94" t="s">
        <v>114</v>
      </c>
      <c r="D80" s="94"/>
      <c r="E80" s="155" t="n">
        <f aca="false">PERC_CUSTOS_INDIRETOS</f>
        <v>4.73</v>
      </c>
      <c r="F80" s="144" t="n">
        <f aca="false">PERC_CUSTOS_INDIRETOS%*(MOD_1_REMUNERACAO_SERV_HOSP+MOD_2_ENCARGOS_BENEFICIOS_SERV_HOSP+MOD_3_PROVISAO_RESCISAO_SERV_HOSP+MOD_4_CUSTO_REPOSICAO_SERV_HOSP+MOD_5_INSUMOS_SERV_HOSP)</f>
        <v>50.82</v>
      </c>
    </row>
    <row r="81" customFormat="false" ht="16.5" hidden="false" customHeight="true" outlineLevel="0" collapsed="false">
      <c r="B81" s="15" t="s">
        <v>34</v>
      </c>
      <c r="C81" s="34" t="s">
        <v>115</v>
      </c>
      <c r="D81" s="34"/>
      <c r="E81" s="156" t="n">
        <f aca="false">PERC_LUCRO</f>
        <v>5.57</v>
      </c>
      <c r="F81" s="146" t="n">
        <f aca="false">PERC_LUCRO%*(MOD_1_REMUNERACAO_SERV_HOSP+MOD_2_ENCARGOS_BENEFICIOS_SERV_HOSP+MOD_3_PROVISAO_RESCISAO_SERV_HOSP+MOD_4_CUSTO_REPOSICAO_SERV_HOSP+MOD_5_INSUMOS_SERV_HOSP+AL_6_A_CUSTOS_INDIRETOS_SERV_HOSP)</f>
        <v>62.68</v>
      </c>
    </row>
    <row r="82" customFormat="false" ht="15" hidden="false" customHeight="true" outlineLevel="0" collapsed="false">
      <c r="B82" s="15" t="s">
        <v>37</v>
      </c>
      <c r="C82" s="94" t="s">
        <v>208</v>
      </c>
      <c r="D82" s="94"/>
      <c r="E82" s="155" t="n">
        <f aca="false">SUM(E83:E85)</f>
        <v>8.65</v>
      </c>
      <c r="F82" s="144" t="n">
        <f aca="false">SUM(F83:F85)</f>
        <v>112.48</v>
      </c>
    </row>
    <row r="83" customFormat="false" ht="16.5" hidden="false" customHeight="true" outlineLevel="0" collapsed="false">
      <c r="B83" s="96" t="s">
        <v>116</v>
      </c>
      <c r="C83" s="157" t="s">
        <v>117</v>
      </c>
      <c r="D83" s="157"/>
      <c r="E83" s="158" t="n">
        <f aca="false">PERC_PIS</f>
        <v>0.65</v>
      </c>
      <c r="F83" s="159" t="n">
        <f aca="false">((MOD_1_REMUNERACAO_SERV_HOSP+MOD_2_ENCARGOS_BENEFICIOS_SERV_HOSP+MOD_3_PROVISAO_RESCISAO_SERV_HOSP+MOD_4_CUSTO_REPOSICAO_SERV_HOSP+MOD_5_INSUMOS_SERV_HOSP+AL_6_A_CUSTOS_INDIRETOS_SERV_HOSP+AL_6_B_LUCRO_SERV_HOSP)*PERC_PIS%)/(1-PERC_TRIBUTOS%)</f>
        <v>8.45</v>
      </c>
    </row>
    <row r="84" customFormat="false" ht="16.5" hidden="false" customHeight="true" outlineLevel="0" collapsed="false">
      <c r="B84" s="96" t="s">
        <v>118</v>
      </c>
      <c r="C84" s="160" t="s">
        <v>119</v>
      </c>
      <c r="D84" s="160"/>
      <c r="E84" s="161" t="n">
        <f aca="false">PERC_COFINS</f>
        <v>3</v>
      </c>
      <c r="F84" s="162" t="n">
        <f aca="false">((MOD_1_REMUNERACAO_SERV_HOSP+MOD_2_ENCARGOS_BENEFICIOS_SERV_HOSP+MOD_3_PROVISAO_RESCISAO_SERV_HOSP+MOD_4_CUSTO_REPOSICAO_SERV_HOSP+MOD_5_INSUMOS_SERV_HOSP+AL_6_A_CUSTOS_INDIRETOS_SERV_HOSP+AL_6_B_LUCRO_SERV_HOSP)*PERC_COFINS%)/(1-PERC_TRIBUTOS%)</f>
        <v>39.01</v>
      </c>
    </row>
    <row r="85" customFormat="false" ht="15.75" hidden="false" customHeight="true" outlineLevel="0" collapsed="false">
      <c r="B85" s="96" t="s">
        <v>120</v>
      </c>
      <c r="C85" s="157" t="s">
        <v>121</v>
      </c>
      <c r="D85" s="157"/>
      <c r="E85" s="158" t="n">
        <f aca="false">PERC_ISS</f>
        <v>5</v>
      </c>
      <c r="F85" s="159" t="n">
        <f aca="false">((MOD_1_REMUNERACAO_SERV_HOSP+MOD_2_ENCARGOS_BENEFICIOS_SERV_HOSP+MOD_3_PROVISAO_RESCISAO_SERV_HOSP+MOD_4_CUSTO_REPOSICAO_SERV_HOSP+MOD_5_INSUMOS_SERV_HOSP+AL_6_A_CUSTOS_INDIRETOS_SERV_HOSP+AL_6_B_LUCRO_SERV_HOSP)*PERC_ISS%)/(1-PERC_TRIBUTOS%)</f>
        <v>65.02</v>
      </c>
    </row>
    <row r="86" customFormat="false" ht="16.5" hidden="false" customHeight="false" outlineLevel="0" collapsed="false">
      <c r="B86" s="93" t="s">
        <v>15</v>
      </c>
      <c r="C86" s="93"/>
      <c r="D86" s="93"/>
      <c r="E86" s="93"/>
      <c r="F86" s="163" t="n">
        <f aca="false">AL_6_A_CUSTOS_INDIRETOS_SERV_HOSP+AL_6_B_LUCRO_SERV_HOSP+AL_6_C_TRIBUTOS_SERV_HOSP</f>
        <v>225.98</v>
      </c>
    </row>
    <row r="87" customFormat="false" ht="16.5" hidden="false" customHeight="false" outlineLevel="0" collapsed="false">
      <c r="B87" s="168"/>
      <c r="C87" s="168"/>
      <c r="D87" s="168"/>
      <c r="E87" s="168"/>
      <c r="F87" s="169"/>
    </row>
    <row r="88" customFormat="false" ht="15.75" hidden="false" customHeight="true" outlineLevel="0" collapsed="false">
      <c r="B88" s="164" t="s">
        <v>209</v>
      </c>
      <c r="C88" s="165"/>
      <c r="D88" s="165"/>
      <c r="E88" s="165"/>
      <c r="F88" s="166"/>
    </row>
    <row r="89" customFormat="false" ht="16.5" hidden="false" customHeight="true" outlineLevel="0" collapsed="false">
      <c r="B89" s="15" t="s">
        <v>210</v>
      </c>
      <c r="C89" s="66" t="s">
        <v>211</v>
      </c>
      <c r="D89" s="66"/>
      <c r="E89" s="66"/>
      <c r="F89" s="15" t="s">
        <v>212</v>
      </c>
    </row>
    <row r="90" s="71" customFormat="true" ht="16.5" hidden="false" customHeight="true" outlineLevel="0" collapsed="false">
      <c r="B90" s="27" t="n">
        <v>1</v>
      </c>
      <c r="C90" s="94" t="s">
        <v>75</v>
      </c>
      <c r="D90" s="94"/>
      <c r="E90" s="94"/>
      <c r="F90" s="144" t="n">
        <f aca="false">MOD_1_REMUNERACAO_SERV_HOSP</f>
        <v>0</v>
      </c>
    </row>
    <row r="91" s="71" customFormat="true" ht="16.5" hidden="false" customHeight="true" outlineLevel="0" collapsed="false">
      <c r="B91" s="15" t="n">
        <v>2</v>
      </c>
      <c r="C91" s="34" t="s">
        <v>213</v>
      </c>
      <c r="D91" s="34"/>
      <c r="E91" s="34"/>
      <c r="F91" s="146" t="n">
        <f aca="false">MOD_2_ENCARGOS_BENEFICIOS_SERV_HOSP</f>
        <v>889.19</v>
      </c>
    </row>
    <row r="92" s="71" customFormat="true" ht="16.5" hidden="false" customHeight="true" outlineLevel="0" collapsed="false">
      <c r="B92" s="15" t="n">
        <v>3</v>
      </c>
      <c r="C92" s="94" t="s">
        <v>141</v>
      </c>
      <c r="D92" s="94"/>
      <c r="E92" s="94"/>
      <c r="F92" s="144" t="n">
        <f aca="false">MOD_3_PROVISAO_RESCISAO_SERV_HOSP</f>
        <v>0</v>
      </c>
    </row>
    <row r="93" s="91" customFormat="true" ht="16.5" hidden="false" customHeight="true" outlineLevel="0" collapsed="false">
      <c r="B93" s="15" t="n">
        <v>4</v>
      </c>
      <c r="C93" s="34" t="s">
        <v>214</v>
      </c>
      <c r="D93" s="34"/>
      <c r="E93" s="34"/>
      <c r="F93" s="146" t="n">
        <f aca="false">MOD_4_CUSTO_REPOSICAO_SERV_HOSP</f>
        <v>94.97</v>
      </c>
    </row>
    <row r="94" s="71" customFormat="true" ht="16.5" hidden="false" customHeight="true" outlineLevel="0" collapsed="false">
      <c r="B94" s="15" t="n">
        <v>5</v>
      </c>
      <c r="C94" s="94" t="s">
        <v>106</v>
      </c>
      <c r="D94" s="94"/>
      <c r="E94" s="94"/>
      <c r="F94" s="144" t="n">
        <f aca="false">MOD_5_INSUMOS_SERV_HOSP</f>
        <v>90.32</v>
      </c>
    </row>
    <row r="95" customFormat="false" ht="16.5" hidden="false" customHeight="true" outlineLevel="0" collapsed="false">
      <c r="B95" s="15" t="n">
        <v>6</v>
      </c>
      <c r="C95" s="34" t="s">
        <v>113</v>
      </c>
      <c r="D95" s="34"/>
      <c r="E95" s="34"/>
      <c r="F95" s="146" t="n">
        <f aca="false">MOD_6_CUSTOS_IND_LUCRO_TRIB_SERV_HOSP</f>
        <v>225.98</v>
      </c>
    </row>
    <row r="96" customFormat="false" ht="16.5" hidden="false" customHeight="true" outlineLevel="0" collapsed="false">
      <c r="B96" s="66" t="s">
        <v>222</v>
      </c>
      <c r="C96" s="66"/>
      <c r="D96" s="66"/>
      <c r="E96" s="66"/>
      <c r="F96" s="163" t="n">
        <f aca="false">SUM(F90:F95)</f>
        <v>1300.46</v>
      </c>
    </row>
  </sheetData>
  <sheetProtection sheet="true" objects="true" scenarios="true"/>
  <mergeCells count="88">
    <mergeCell ref="B1:F1"/>
    <mergeCell ref="B2:D2"/>
    <mergeCell ref="B3:F3"/>
    <mergeCell ref="B4:F4"/>
    <mergeCell ref="B5:C5"/>
    <mergeCell ref="D5:F5"/>
    <mergeCell ref="B6:C6"/>
    <mergeCell ref="D6:E6"/>
    <mergeCell ref="B7:F7"/>
    <mergeCell ref="C8:E8"/>
    <mergeCell ref="D9:F9"/>
    <mergeCell ref="C10:E10"/>
    <mergeCell ref="C11:E11"/>
    <mergeCell ref="C12:E12"/>
    <mergeCell ref="C14:D14"/>
    <mergeCell ref="E14:F14"/>
    <mergeCell ref="D15:F15"/>
    <mergeCell ref="D16:F16"/>
    <mergeCell ref="C17:E17"/>
    <mergeCell ref="B18:F18"/>
    <mergeCell ref="C20:E20"/>
    <mergeCell ref="C21:E21"/>
    <mergeCell ref="C22:E22"/>
    <mergeCell ref="C23:E23"/>
    <mergeCell ref="C24:E24"/>
    <mergeCell ref="C25:E25"/>
    <mergeCell ref="B26:E26"/>
    <mergeCell ref="C29:D29"/>
    <mergeCell ref="C30:D30"/>
    <mergeCell ref="C31:D31"/>
    <mergeCell ref="B32:E32"/>
    <mergeCell ref="B33:F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B43:E43"/>
    <mergeCell ref="C45:E45"/>
    <mergeCell ref="C46:E46"/>
    <mergeCell ref="C47:E47"/>
    <mergeCell ref="C48:E48"/>
    <mergeCell ref="C49:E49"/>
    <mergeCell ref="C50:E50"/>
    <mergeCell ref="B51:E51"/>
    <mergeCell ref="C53:D53"/>
    <mergeCell ref="C54:D54"/>
    <mergeCell ref="C55:D55"/>
    <mergeCell ref="C56:D56"/>
    <mergeCell ref="C57:D57"/>
    <mergeCell ref="C58:D58"/>
    <mergeCell ref="C59:D59"/>
    <mergeCell ref="B60:E60"/>
    <mergeCell ref="C63:D63"/>
    <mergeCell ref="C64:D64"/>
    <mergeCell ref="C65:D65"/>
    <mergeCell ref="C66:D66"/>
    <mergeCell ref="C67:D67"/>
    <mergeCell ref="C68:D68"/>
    <mergeCell ref="C69:D69"/>
    <mergeCell ref="B70:E70"/>
    <mergeCell ref="C72:E72"/>
    <mergeCell ref="C73:E73"/>
    <mergeCell ref="C74:E74"/>
    <mergeCell ref="C75:E75"/>
    <mergeCell ref="C76:E76"/>
    <mergeCell ref="B77:E77"/>
    <mergeCell ref="B78:F78"/>
    <mergeCell ref="C79:D79"/>
    <mergeCell ref="C80:D80"/>
    <mergeCell ref="C81:D81"/>
    <mergeCell ref="C82:D82"/>
    <mergeCell ref="C83:D83"/>
    <mergeCell ref="C84:D84"/>
    <mergeCell ref="C85:D85"/>
    <mergeCell ref="B86:E86"/>
    <mergeCell ref="C89:E89"/>
    <mergeCell ref="C90:E90"/>
    <mergeCell ref="C91:E91"/>
    <mergeCell ref="C92:E92"/>
    <mergeCell ref="C93:E93"/>
    <mergeCell ref="C94:E94"/>
    <mergeCell ref="C95:E95"/>
    <mergeCell ref="B96:E96"/>
  </mergeCells>
  <conditionalFormatting sqref="F48">
    <cfRule type="cellIs" priority="2" operator="equal" aboveAverage="0" equalAverage="0" bottom="0" percent="0" rank="0" text="" dxfId="2">
      <formula>"Insira o % do PAT"</formula>
    </cfRule>
  </conditionalFormatting>
  <printOptions headings="false" gridLines="false" gridLinesSet="true" horizontalCentered="false" verticalCentered="false"/>
  <pageMargins left="0.170138888888889" right="0.170138888888889" top="0.7875" bottom="1.2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H5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53" activeCellId="0" sqref="E53"/>
    </sheetView>
  </sheetViews>
  <sheetFormatPr defaultColWidth="9.1484375" defaultRowHeight="16.5" zeroHeight="false" outlineLevelRow="0" outlineLevelCol="0"/>
  <cols>
    <col collapsed="false" customWidth="true" hidden="false" outlineLevel="0" max="1" min="1" style="170" width="1.14"/>
    <col collapsed="false" customWidth="true" hidden="false" outlineLevel="0" max="2" min="2" style="171" width="20.71"/>
    <col collapsed="false" customWidth="true" hidden="false" outlineLevel="0" max="3" min="3" style="171" width="18.57"/>
    <col collapsed="false" customWidth="true" hidden="false" outlineLevel="0" max="4" min="4" style="171" width="17.42"/>
    <col collapsed="false" customWidth="true" hidden="false" outlineLevel="0" max="5" min="5" style="171" width="16.43"/>
    <col collapsed="false" customWidth="true" hidden="false" outlineLevel="0" max="6" min="6" style="172" width="17.71"/>
    <col collapsed="false" customWidth="true" hidden="false" outlineLevel="0" max="7" min="7" style="172" width="18.86"/>
    <col collapsed="false" customWidth="true" hidden="false" outlineLevel="0" max="8" min="8" style="172" width="17.29"/>
    <col collapsed="false" customWidth="false" hidden="false" outlineLevel="0" max="16384" min="9" style="170" width="9.14"/>
  </cols>
  <sheetData>
    <row r="1" s="173" customFormat="true" ht="17.35" hidden="false" customHeight="false" outlineLevel="0" collapsed="false">
      <c r="B1" s="174" t="str">
        <f aca="false">RAMO</f>
        <v>RAMO: MINISTÉRIO PÚBLICO FEDERAL – MPF</v>
      </c>
      <c r="C1" s="174"/>
      <c r="D1" s="174"/>
      <c r="E1" s="174"/>
      <c r="F1" s="174"/>
      <c r="G1" s="174"/>
      <c r="H1" s="174"/>
    </row>
    <row r="2" s="173" customFormat="true" ht="17.35" hidden="false" customHeight="false" outlineLevel="0" collapsed="false">
      <c r="B2" s="175" t="str">
        <f aca="false">UG</f>
        <v>UNIDADE GESTORA (SIGLA): 200090 (PRPE) </v>
      </c>
      <c r="C2" s="175"/>
      <c r="D2" s="175"/>
      <c r="E2" s="175"/>
      <c r="F2" s="175"/>
      <c r="G2" s="122" t="s">
        <v>3</v>
      </c>
      <c r="H2" s="123" t="n">
        <f aca="false">IF(DATA_DO_ORCAMENTO_ESTIMATIVO="","",DATA_DO_ORCAMENTO_ESTIMATIVO)</f>
        <v>45859</v>
      </c>
    </row>
    <row r="3" customFormat="false" ht="9" hidden="false" customHeight="true" outlineLevel="0" collapsed="false"/>
    <row r="4" customFormat="false" ht="17.35" hidden="false" customHeight="false" outlineLevel="0" collapsed="false">
      <c r="B4" s="176" t="s">
        <v>223</v>
      </c>
      <c r="C4" s="176"/>
      <c r="D4" s="176"/>
      <c r="E4" s="176"/>
      <c r="F4" s="176"/>
      <c r="G4" s="176"/>
      <c r="H4" s="176"/>
    </row>
    <row r="5" customFormat="false" ht="15" hidden="false" customHeight="true" outlineLevel="0" collapsed="false">
      <c r="B5" s="177" t="s">
        <v>224</v>
      </c>
      <c r="C5" s="177"/>
      <c r="D5" s="177"/>
      <c r="E5" s="177"/>
      <c r="F5" s="177"/>
      <c r="G5" s="177"/>
      <c r="H5" s="177"/>
    </row>
    <row r="6" s="178" customFormat="true" ht="10.5" hidden="false" customHeight="true" outlineLevel="0" collapsed="false">
      <c r="B6" s="179"/>
      <c r="C6" s="179"/>
      <c r="D6" s="179"/>
      <c r="E6" s="179"/>
      <c r="F6" s="179"/>
      <c r="G6" s="179"/>
      <c r="H6" s="179"/>
    </row>
    <row r="7" customFormat="false" ht="15" hidden="false" customHeight="true" outlineLevel="0" collapsed="false">
      <c r="B7" s="177" t="s">
        <v>225</v>
      </c>
      <c r="C7" s="177"/>
      <c r="D7" s="177"/>
      <c r="E7" s="177"/>
      <c r="F7" s="177"/>
      <c r="G7" s="177"/>
      <c r="H7" s="177"/>
    </row>
    <row r="8" customFormat="false" ht="14.25" hidden="false" customHeight="true" outlineLevel="0" collapsed="false">
      <c r="B8" s="180" t="s">
        <v>226</v>
      </c>
      <c r="C8" s="180"/>
      <c r="D8" s="180"/>
      <c r="E8" s="180"/>
      <c r="F8" s="180"/>
      <c r="G8" s="180"/>
      <c r="H8" s="180"/>
    </row>
    <row r="9" customFormat="false" ht="15.75" hidden="false" customHeight="true" outlineLevel="0" collapsed="false">
      <c r="B9" s="180"/>
      <c r="C9" s="180"/>
      <c r="D9" s="180"/>
      <c r="E9" s="180"/>
      <c r="F9" s="180"/>
      <c r="G9" s="180"/>
      <c r="H9" s="180"/>
    </row>
    <row r="10" customFormat="false" ht="12.75" hidden="false" customHeight="true" outlineLevel="0" collapsed="false">
      <c r="B10" s="27" t="s">
        <v>227</v>
      </c>
      <c r="C10" s="15" t="s">
        <v>228</v>
      </c>
      <c r="D10" s="15" t="s">
        <v>229</v>
      </c>
      <c r="E10" s="15" t="s">
        <v>230</v>
      </c>
      <c r="H10" s="170"/>
    </row>
    <row r="11" customFormat="false" ht="21" hidden="false" customHeight="true" outlineLevel="0" collapsed="false">
      <c r="B11" s="27"/>
      <c r="C11" s="15"/>
      <c r="D11" s="15"/>
      <c r="E11" s="15"/>
      <c r="H11" s="170"/>
    </row>
    <row r="12" customFormat="false" ht="16.5" hidden="false" customHeight="false" outlineLevel="0" collapsed="false">
      <c r="B12" s="181" t="s">
        <v>231</v>
      </c>
      <c r="C12" s="182" t="n">
        <f aca="false">IFERROR(1/(PRODUT_AREA_INTERNA*RELACAO_SERVENTES_ENCARREGADOS),0)</f>
        <v>0</v>
      </c>
      <c r="D12" s="183" t="n">
        <f aca="false">ENCARREGADOS!VALOR_TOTAL_ENC</f>
        <v>0</v>
      </c>
      <c r="E12" s="184" t="n">
        <f aca="false">IFERROR(1/((PRODUT_AREA_INTERNA*RELACAO_SERVENTES_ENCARREGADOS))*ENCARREGADOS!VALOR_TOTAL_ENC,0)</f>
        <v>0</v>
      </c>
      <c r="H12" s="170"/>
    </row>
    <row r="13" customFormat="false" ht="16.5" hidden="false" customHeight="false" outlineLevel="0" collapsed="false">
      <c r="B13" s="181" t="s">
        <v>232</v>
      </c>
      <c r="C13" s="185" t="n">
        <f aca="false">IFERROR(1/PRODUT_AREA_INTERNA,0)</f>
        <v>0.00125</v>
      </c>
      <c r="D13" s="186" t="n">
        <f aca="false">VALOR_TOTAL_SERV</f>
        <v>4066.32</v>
      </c>
      <c r="E13" s="187" t="n">
        <f aca="false">IFERROR(1/(PRODUT_AREA_INTERNA)*VALOR_TOTAL_SERV,0)</f>
        <v>5.08</v>
      </c>
      <c r="H13" s="170"/>
    </row>
    <row r="14" customFormat="false" ht="16.5" hidden="false" customHeight="false" outlineLevel="0" collapsed="false">
      <c r="B14" s="188" t="s">
        <v>233</v>
      </c>
      <c r="C14" s="188"/>
      <c r="D14" s="188"/>
      <c r="E14" s="189" t="n">
        <f aca="false">E12+E13</f>
        <v>5.08</v>
      </c>
      <c r="H14" s="170"/>
    </row>
    <row r="15" customFormat="false" ht="3.75" hidden="false" customHeight="true" outlineLevel="0" collapsed="false">
      <c r="C15" s="190"/>
      <c r="D15" s="190"/>
      <c r="E15" s="190"/>
      <c r="F15" s="191"/>
      <c r="H15" s="170"/>
    </row>
    <row r="16" s="192" customFormat="true" ht="15.75" hidden="false" customHeight="true" outlineLevel="0" collapsed="false">
      <c r="B16" s="180" t="s">
        <v>234</v>
      </c>
      <c r="C16" s="180"/>
      <c r="D16" s="180"/>
      <c r="E16" s="180"/>
      <c r="F16" s="180"/>
      <c r="G16" s="180"/>
      <c r="H16" s="180"/>
    </row>
    <row r="17" s="192" customFormat="true" ht="15.75" hidden="false" customHeight="true" outlineLevel="0" collapsed="false">
      <c r="B17" s="180"/>
      <c r="C17" s="180"/>
      <c r="D17" s="180"/>
      <c r="E17" s="180"/>
      <c r="F17" s="180"/>
      <c r="G17" s="180"/>
      <c r="H17" s="180"/>
    </row>
    <row r="18" customFormat="false" ht="12.75" hidden="false" customHeight="true" outlineLevel="0" collapsed="false">
      <c r="B18" s="27" t="s">
        <v>227</v>
      </c>
      <c r="C18" s="15" t="s">
        <v>228</v>
      </c>
      <c r="D18" s="15" t="s">
        <v>229</v>
      </c>
      <c r="E18" s="15" t="s">
        <v>230</v>
      </c>
    </row>
    <row r="19" customFormat="false" ht="16.5" hidden="false" customHeight="false" outlineLevel="0" collapsed="false">
      <c r="B19" s="27"/>
      <c r="C19" s="15"/>
      <c r="D19" s="15"/>
      <c r="E19" s="15"/>
      <c r="G19" s="171"/>
    </row>
    <row r="20" customFormat="false" ht="16.5" hidden="false" customHeight="false" outlineLevel="0" collapsed="false">
      <c r="B20" s="181" t="s">
        <v>231</v>
      </c>
      <c r="C20" s="182" t="n">
        <f aca="false">IFERROR(1/(PRODUT_AREA_EXTERNA*RELACAO_SERVENTES_ENCARREGADOS),0)</f>
        <v>0</v>
      </c>
      <c r="D20" s="183" t="n">
        <f aca="false">ENCARREGADOS!VALOR_TOTAL_ENC</f>
        <v>0</v>
      </c>
      <c r="E20" s="184" t="n">
        <f aca="false">IFERROR(1/((PRODUT_AREA_EXTERNA*RELACAO_SERVENTES_ENCARREGADOS))*ENCARREGADOS!VALOR_TOTAL_ENC,0)</f>
        <v>0</v>
      </c>
      <c r="G20" s="171"/>
    </row>
    <row r="21" customFormat="false" ht="16.5" hidden="false" customHeight="false" outlineLevel="0" collapsed="false">
      <c r="B21" s="181" t="s">
        <v>232</v>
      </c>
      <c r="C21" s="185" t="n">
        <f aca="false">IFERROR(1/PRODUT_AREA_EXTERNA,0)</f>
        <v>0.000555556</v>
      </c>
      <c r="D21" s="186" t="n">
        <f aca="false">VALOR_TOTAL_SERV</f>
        <v>4066.32</v>
      </c>
      <c r="E21" s="187" t="n">
        <f aca="false">IFERROR(1/(PRODUT_AREA_EXTERNA)*VALOR_TOTAL_SERV,0)</f>
        <v>2.26</v>
      </c>
      <c r="G21" s="171"/>
    </row>
    <row r="22" customFormat="false" ht="16.5" hidden="false" customHeight="false" outlineLevel="0" collapsed="false">
      <c r="B22" s="188" t="s">
        <v>235</v>
      </c>
      <c r="C22" s="188"/>
      <c r="D22" s="188"/>
      <c r="E22" s="189" t="n">
        <f aca="false">E20+E21</f>
        <v>2.26</v>
      </c>
      <c r="G22" s="171"/>
    </row>
    <row r="23" customFormat="false" ht="3.75" hidden="false" customHeight="true" outlineLevel="0" collapsed="false">
      <c r="C23" s="190"/>
      <c r="D23" s="190"/>
      <c r="E23" s="190"/>
      <c r="F23" s="193"/>
    </row>
    <row r="24" s="192" customFormat="true" ht="12.75" hidden="false" customHeight="true" outlineLevel="0" collapsed="false">
      <c r="B24" s="180" t="s">
        <v>236</v>
      </c>
      <c r="C24" s="180"/>
      <c r="D24" s="180"/>
      <c r="E24" s="180"/>
      <c r="F24" s="180"/>
      <c r="G24" s="180"/>
      <c r="H24" s="180"/>
    </row>
    <row r="25" s="192" customFormat="true" ht="15.75" hidden="false" customHeight="true" outlineLevel="0" collapsed="false">
      <c r="B25" s="180"/>
      <c r="C25" s="180"/>
      <c r="D25" s="180"/>
      <c r="E25" s="180"/>
      <c r="F25" s="180"/>
      <c r="G25" s="180"/>
      <c r="H25" s="180"/>
    </row>
    <row r="26" customFormat="false" ht="16.5" hidden="false" customHeight="true" outlineLevel="0" collapsed="false">
      <c r="B26" s="27" t="s">
        <v>227</v>
      </c>
      <c r="C26" s="15" t="s">
        <v>228</v>
      </c>
      <c r="D26" s="15" t="s">
        <v>237</v>
      </c>
      <c r="E26" s="15" t="s">
        <v>238</v>
      </c>
      <c r="F26" s="15" t="s">
        <v>239</v>
      </c>
      <c r="G26" s="15" t="s">
        <v>240</v>
      </c>
      <c r="H26" s="15" t="s">
        <v>241</v>
      </c>
    </row>
    <row r="27" customFormat="false" ht="16.5" hidden="false" customHeight="false" outlineLevel="0" collapsed="false">
      <c r="B27" s="27"/>
      <c r="C27" s="15"/>
      <c r="D27" s="15"/>
      <c r="E27" s="15"/>
      <c r="F27" s="15"/>
      <c r="G27" s="15"/>
      <c r="H27" s="15"/>
    </row>
    <row r="28" customFormat="false" ht="36" hidden="false" customHeight="true" outlineLevel="0" collapsed="false">
      <c r="B28" s="27"/>
      <c r="C28" s="15"/>
      <c r="D28" s="15"/>
      <c r="E28" s="15"/>
      <c r="F28" s="15"/>
      <c r="G28" s="15"/>
      <c r="H28" s="15"/>
    </row>
    <row r="29" customFormat="false" ht="16.5" hidden="false" customHeight="false" outlineLevel="0" collapsed="false">
      <c r="B29" s="181" t="s">
        <v>231</v>
      </c>
      <c r="C29" s="182" t="n">
        <f aca="false">IFERROR(1/(PRODUT_AREA_ESQ_EXTERNA*RELACAO_SERVENTES_ENCARREGADOS),0)</f>
        <v>0</v>
      </c>
      <c r="D29" s="194" t="n">
        <f aca="false">FREQ_ESQ_EXTERNA</f>
        <v>0</v>
      </c>
      <c r="E29" s="195" t="n">
        <f aca="false">1/((DIAS_NO_MES/DIAS_NA_SEMANA)*CARGA_HORARIA_SEMANAL)</f>
        <v>0.005303</v>
      </c>
      <c r="F29" s="195" t="n">
        <f aca="false">IFERROR((1/(PRODUT_AREA_ESQ_EXTERNA*RELACAO_SERVENTES_ENCARREGADOS)*FREQ_ESQ_EXTERNA*JORNADA_MES_ESQ_EXTERNA_ENC),0)</f>
        <v>0</v>
      </c>
      <c r="G29" s="183" t="n">
        <f aca="false">ENCARREGADOS!VALOR_TOTAL_ENC</f>
        <v>0</v>
      </c>
      <c r="H29" s="183" t="n">
        <f aca="false">COEF_KI_ESQ_EXTERNA_ENC*ENCARREGADOS!VALOR_TOTAL_ENC</f>
        <v>0</v>
      </c>
    </row>
    <row r="30" customFormat="false" ht="16.5" hidden="false" customHeight="false" outlineLevel="0" collapsed="false">
      <c r="B30" s="181" t="s">
        <v>232</v>
      </c>
      <c r="C30" s="185" t="n">
        <f aca="false">IFERROR(1/PRODUT_AREA_ESQ_EXTERNA,0)</f>
        <v>0</v>
      </c>
      <c r="D30" s="196" t="n">
        <f aca="false">FREQ_ESQ_EXTERNA</f>
        <v>0</v>
      </c>
      <c r="E30" s="197" t="n">
        <f aca="false">1/((DIAS_NO_MES/DIAS_NA_SEMANA)*CARGA_HORARIA_SEMANAL)</f>
        <v>0.005303</v>
      </c>
      <c r="F30" s="197" t="n">
        <f aca="false">IFERROR((1/PRODUT_AREA_ESQ_EXTERNA)*FREQ_ESQ_EXTERNA*JORNADA_MES_ESQ_EXTERNA_SERV,0)</f>
        <v>0</v>
      </c>
      <c r="G30" s="186" t="n">
        <f aca="false">VALOR_TOTAL_SERV</f>
        <v>4066.32</v>
      </c>
      <c r="H30" s="186" t="n">
        <f aca="false">COEF_KI_ESQ_EXTERNA_SERV*VALOR_TOTAL_SERV</f>
        <v>0</v>
      </c>
    </row>
    <row r="31" customFormat="false" ht="16.5" hidden="false" customHeight="false" outlineLevel="0" collapsed="false">
      <c r="B31" s="93" t="s">
        <v>242</v>
      </c>
      <c r="C31" s="93"/>
      <c r="D31" s="93"/>
      <c r="E31" s="93"/>
      <c r="F31" s="93"/>
      <c r="G31" s="93"/>
      <c r="H31" s="189" t="n">
        <f aca="false">H29+H30</f>
        <v>0</v>
      </c>
    </row>
    <row r="32" customFormat="false" ht="3.75" hidden="false" customHeight="true" outlineLevel="0" collapsed="false">
      <c r="C32" s="190"/>
      <c r="D32" s="190"/>
      <c r="E32" s="190"/>
      <c r="F32" s="190"/>
      <c r="G32" s="190"/>
      <c r="H32" s="190"/>
    </row>
    <row r="33" s="192" customFormat="true" ht="18" hidden="false" customHeight="true" outlineLevel="0" collapsed="false">
      <c r="B33" s="180" t="s">
        <v>243</v>
      </c>
      <c r="C33" s="180"/>
      <c r="D33" s="180"/>
      <c r="E33" s="180"/>
      <c r="F33" s="180"/>
      <c r="G33" s="180"/>
      <c r="H33" s="180"/>
    </row>
    <row r="34" customFormat="false" ht="14.25" hidden="false" customHeight="true" outlineLevel="0" collapsed="false">
      <c r="B34" s="27" t="s">
        <v>227</v>
      </c>
      <c r="C34" s="15" t="s">
        <v>228</v>
      </c>
      <c r="D34" s="15" t="s">
        <v>237</v>
      </c>
      <c r="E34" s="15" t="s">
        <v>244</v>
      </c>
      <c r="F34" s="15" t="s">
        <v>239</v>
      </c>
      <c r="G34" s="15" t="s">
        <v>240</v>
      </c>
      <c r="H34" s="15" t="s">
        <v>241</v>
      </c>
    </row>
    <row r="35" customFormat="false" ht="12.75" hidden="false" customHeight="true" outlineLevel="0" collapsed="false">
      <c r="B35" s="27"/>
      <c r="C35" s="15"/>
      <c r="D35" s="15"/>
      <c r="E35" s="15"/>
      <c r="F35" s="15"/>
      <c r="G35" s="15"/>
      <c r="H35" s="15"/>
    </row>
    <row r="36" customFormat="false" ht="39.75" hidden="false" customHeight="true" outlineLevel="0" collapsed="false">
      <c r="B36" s="27"/>
      <c r="C36" s="15"/>
      <c r="D36" s="15"/>
      <c r="E36" s="15"/>
      <c r="F36" s="15"/>
      <c r="G36" s="15"/>
      <c r="H36" s="15"/>
    </row>
    <row r="37" customFormat="false" ht="16.5" hidden="false" customHeight="false" outlineLevel="0" collapsed="false">
      <c r="B37" s="181" t="s">
        <v>231</v>
      </c>
      <c r="C37" s="182" t="n">
        <f aca="false">IFERROR(1/(PRODUT_AREA_FACHADA_ENVID*RELACAO_SERVENTES_ENCARREGADOS),0)</f>
        <v>0</v>
      </c>
      <c r="D37" s="194" t="n">
        <f aca="false">FREQ_FACHADA_ENVID</f>
        <v>0</v>
      </c>
      <c r="E37" s="195" t="n">
        <f aca="false">1/((DIAS_NO_MES/DIAS_NA_SEMANA)*CARGA_HORARIA_SEMANAL*MESES_NO_SEMESTRE)</f>
        <v>0.000884</v>
      </c>
      <c r="F37" s="195" t="n">
        <f aca="false">IFERROR((1/(PRODUT_AREA_FACHADA_ENVID*RELACAO_SERVENTES_ENCARREGADOS)*FREQ_FACHADA_ENVID*JORNADA_MES_FACHADA_ENVID_ENC),0)</f>
        <v>0</v>
      </c>
      <c r="G37" s="183" t="n">
        <f aca="false">ENCARREGADOS!VALOR_TOTAL_ENC</f>
        <v>0</v>
      </c>
      <c r="H37" s="140" t="n">
        <f aca="false">COEF_KI_FACHADA_ENVID_ENC*ENCARREGADOS!VALOR_TOTAL_ENC</f>
        <v>0</v>
      </c>
    </row>
    <row r="38" customFormat="false" ht="16.5" hidden="false" customHeight="false" outlineLevel="0" collapsed="false">
      <c r="B38" s="181" t="s">
        <v>232</v>
      </c>
      <c r="C38" s="185" t="n">
        <f aca="false">IFERROR(1/PRODUT_AREA_FACHADA_ENVID,0)</f>
        <v>0</v>
      </c>
      <c r="D38" s="196" t="n">
        <f aca="false">FREQ_FACHADA_ENVID</f>
        <v>0</v>
      </c>
      <c r="E38" s="197" t="n">
        <f aca="false">1/((DIAS_NO_MES/DIAS_NA_SEMANA)*CARGA_HORARIA_SEMANAL*MESES_NO_SEMESTRE)</f>
        <v>0.000884</v>
      </c>
      <c r="F38" s="197" t="n">
        <f aca="false">IFERROR((1/PRODUT_AREA_FACHADA_ENVID)*FREQ_FACHADA_ENVID*JORNADA_MES_FACHADA_ENVID_SERV,0)</f>
        <v>0</v>
      </c>
      <c r="G38" s="186" t="n">
        <f aca="false">VALOR_TOTAL_SERV</f>
        <v>4066.32</v>
      </c>
      <c r="H38" s="141" t="n">
        <f aca="false">COEF_KI_FACHADA_ENVID_SERV*VALOR_TOTAL_SERV</f>
        <v>0</v>
      </c>
    </row>
    <row r="39" customFormat="false" ht="16.5" hidden="false" customHeight="false" outlineLevel="0" collapsed="false">
      <c r="B39" s="93" t="s">
        <v>245</v>
      </c>
      <c r="C39" s="93"/>
      <c r="D39" s="93"/>
      <c r="E39" s="93"/>
      <c r="F39" s="93"/>
      <c r="G39" s="93"/>
      <c r="H39" s="189" t="n">
        <f aca="false">H37+H38</f>
        <v>0</v>
      </c>
    </row>
    <row r="40" customFormat="false" ht="9" hidden="false" customHeight="true" outlineLevel="0" collapsed="false">
      <c r="C40" s="190"/>
      <c r="D40" s="190"/>
      <c r="E40" s="190"/>
      <c r="F40" s="193"/>
      <c r="G40" s="171"/>
    </row>
    <row r="41" s="192" customFormat="true" ht="33" hidden="false" customHeight="true" outlineLevel="0" collapsed="false">
      <c r="B41" s="180" t="s">
        <v>246</v>
      </c>
      <c r="C41" s="180"/>
      <c r="D41" s="180"/>
      <c r="E41" s="180"/>
      <c r="F41" s="180"/>
      <c r="G41" s="180"/>
      <c r="H41" s="180"/>
    </row>
    <row r="42" customFormat="false" ht="15" hidden="false" customHeight="true" outlineLevel="0" collapsed="false">
      <c r="B42" s="27" t="s">
        <v>227</v>
      </c>
      <c r="C42" s="15" t="s">
        <v>228</v>
      </c>
      <c r="D42" s="15" t="s">
        <v>229</v>
      </c>
      <c r="E42" s="15" t="s">
        <v>230</v>
      </c>
      <c r="G42" s="171"/>
    </row>
    <row r="43" customFormat="false" ht="16.5" hidden="false" customHeight="false" outlineLevel="0" collapsed="false">
      <c r="B43" s="27"/>
      <c r="C43" s="15"/>
      <c r="D43" s="15"/>
      <c r="E43" s="15"/>
    </row>
    <row r="44" customFormat="false" ht="16.5" hidden="false" customHeight="false" outlineLevel="0" collapsed="false">
      <c r="B44" s="181" t="s">
        <v>231</v>
      </c>
      <c r="C44" s="182" t="n">
        <f aca="false">IFERROR(1/(PRODUT_AREA_HOSPITALAR*RELACAO_SERVENTES_ENCARREGADOS),0)</f>
        <v>0</v>
      </c>
      <c r="D44" s="183" t="n">
        <f aca="false">ENCARREGADOS!VALOR_TOTAL_ENC</f>
        <v>0</v>
      </c>
      <c r="E44" s="183" t="n">
        <f aca="false">IFERROR((1/(PRODUT_AREA_HOSPITALAR*RELACAO_SERVENTES_ENCARREGADOS))*ENCARREGADOS!VALOR_TOTAL_ENC,0)</f>
        <v>0</v>
      </c>
    </row>
    <row r="45" customFormat="false" ht="16.5" hidden="false" customHeight="false" outlineLevel="0" collapsed="false">
      <c r="B45" s="181" t="s">
        <v>232</v>
      </c>
      <c r="C45" s="185" t="n">
        <f aca="false">IFERROR(1/PRODUT_AREA_HOSPITALAR,0)</f>
        <v>0</v>
      </c>
      <c r="D45" s="186" t="n">
        <f aca="false">VALOR_TOTAL_SERV_HOSP</f>
        <v>1300.46</v>
      </c>
      <c r="E45" s="186" t="n">
        <f aca="false">IFERROR(1/PRODUT_AREA_HOSPITALAR*VALOR_TOTAL_SERV_HOSP,0)</f>
        <v>0</v>
      </c>
    </row>
    <row r="46" customFormat="false" ht="16.5" hidden="false" customHeight="false" outlineLevel="0" collapsed="false">
      <c r="B46" s="188" t="s">
        <v>247</v>
      </c>
      <c r="C46" s="188"/>
      <c r="D46" s="188"/>
      <c r="E46" s="189" t="n">
        <f aca="false">E44+E45</f>
        <v>0</v>
      </c>
    </row>
    <row r="47" customFormat="false" ht="12.75" hidden="false" customHeight="true" outlineLevel="0" collapsed="false">
      <c r="C47" s="190"/>
      <c r="D47" s="190"/>
      <c r="E47" s="190"/>
      <c r="F47" s="190"/>
      <c r="G47" s="190"/>
    </row>
    <row r="48" s="192" customFormat="true" ht="13.5" hidden="false" customHeight="true" outlineLevel="0" collapsed="false">
      <c r="B48" s="198" t="s">
        <v>248</v>
      </c>
      <c r="C48" s="198"/>
      <c r="D48" s="198"/>
      <c r="E48" s="198"/>
      <c r="F48" s="199"/>
      <c r="G48" s="200"/>
    </row>
    <row r="49" customFormat="false" ht="13.5" hidden="false" customHeight="true" outlineLevel="0" collapsed="false">
      <c r="B49" s="201"/>
      <c r="C49" s="201"/>
      <c r="D49" s="201"/>
      <c r="E49" s="201"/>
      <c r="F49" s="190"/>
      <c r="H49" s="170"/>
    </row>
    <row r="50" s="170" customFormat="true" ht="14.25" hidden="false" customHeight="true" outlineLevel="0" collapsed="false">
      <c r="B50" s="15" t="s">
        <v>249</v>
      </c>
      <c r="C50" s="15" t="s">
        <v>250</v>
      </c>
      <c r="D50" s="15" t="s">
        <v>251</v>
      </c>
      <c r="E50" s="15"/>
      <c r="F50" s="15"/>
      <c r="G50" s="15" t="s">
        <v>252</v>
      </c>
    </row>
    <row r="51" s="170" customFormat="true" ht="18" hidden="false" customHeight="true" outlineLevel="0" collapsed="false">
      <c r="B51" s="15"/>
      <c r="C51" s="15"/>
      <c r="D51" s="15"/>
      <c r="E51" s="15"/>
      <c r="F51" s="15"/>
      <c r="G51" s="15"/>
    </row>
    <row r="52" s="170" customFormat="true" ht="31.3" hidden="false" customHeight="false" outlineLevel="0" collapsed="false">
      <c r="B52" s="15"/>
      <c r="C52" s="15" t="s">
        <v>26</v>
      </c>
      <c r="D52" s="15" t="s">
        <v>231</v>
      </c>
      <c r="E52" s="15" t="s">
        <v>232</v>
      </c>
      <c r="F52" s="15" t="s">
        <v>253</v>
      </c>
      <c r="G52" s="15" t="s">
        <v>254</v>
      </c>
    </row>
    <row r="53" s="170" customFormat="true" ht="16.5" hidden="false" customHeight="false" outlineLevel="0" collapsed="false">
      <c r="B53" s="181" t="s">
        <v>28</v>
      </c>
      <c r="C53" s="202" t="n">
        <f aca="false">AREA_INTERNA_TOTAL</f>
        <v>7177.36</v>
      </c>
      <c r="D53" s="143" t="n">
        <f aca="false">CUSTO_M2_AREA_INTERNA_ENC</f>
        <v>0</v>
      </c>
      <c r="E53" s="143" t="n">
        <f aca="false">CUSTO_M2_AREA_INTERNA_SERV</f>
        <v>5.08</v>
      </c>
      <c r="F53" s="143" t="n">
        <f aca="false">CUSTO_M2_AREA_INTERNA</f>
        <v>5.08</v>
      </c>
      <c r="G53" s="140" t="n">
        <f aca="false">AREA_INTERNA_TOTAL*CUSTO_M2_AREA_INTERNA</f>
        <v>36460.99</v>
      </c>
    </row>
    <row r="54" s="170" customFormat="true" ht="16.5" hidden="false" customHeight="false" outlineLevel="0" collapsed="false">
      <c r="B54" s="181" t="s">
        <v>30</v>
      </c>
      <c r="C54" s="203" t="n">
        <f aca="false">AREA_EXTERNA_TOTAL</f>
        <v>17002.12</v>
      </c>
      <c r="D54" s="145" t="n">
        <f aca="false">CUSTO_M2_AREA_EXTERNA_ENC</f>
        <v>0</v>
      </c>
      <c r="E54" s="145" t="n">
        <f aca="false">CUSTO_M2_AREA_EXTERNA_SERV</f>
        <v>2.26</v>
      </c>
      <c r="F54" s="145" t="n">
        <f aca="false">CUSTO_M2_AREA_EXTERNA</f>
        <v>2.26</v>
      </c>
      <c r="G54" s="141" t="n">
        <f aca="false">AREA_EXTERNA_TOTAL*CUSTO_M2_AREA_EXTERNA</f>
        <v>38424.79</v>
      </c>
    </row>
    <row r="55" s="170" customFormat="true" ht="16.5" hidden="false" customHeight="false" outlineLevel="0" collapsed="false">
      <c r="B55" s="181" t="s">
        <v>33</v>
      </c>
      <c r="C55" s="202" t="n">
        <f aca="false">AREA_ESQ_EXTERNA_TOTAL</f>
        <v>0</v>
      </c>
      <c r="D55" s="143" t="n">
        <f aca="false">CUSTO_M2_ESQ_EXTERNA_ENC</f>
        <v>0</v>
      </c>
      <c r="E55" s="143" t="n">
        <f aca="false">CUSTO_M2_ESQ_EXTERNA_SERV</f>
        <v>0</v>
      </c>
      <c r="F55" s="143" t="n">
        <f aca="false">CUSTO_M2_ESQ_EXTERNA</f>
        <v>0</v>
      </c>
      <c r="G55" s="140" t="n">
        <f aca="false">AREA_ESQ_EXTERNA_TOTAL*CUSTO_M2_ESQ_EXTERNA</f>
        <v>0</v>
      </c>
    </row>
    <row r="56" s="170" customFormat="true" ht="16.5" hidden="false" customHeight="false" outlineLevel="0" collapsed="false">
      <c r="B56" s="181" t="s">
        <v>36</v>
      </c>
      <c r="C56" s="203" t="n">
        <f aca="false">AREA_FACHADA_ENVID_TOTAL</f>
        <v>0</v>
      </c>
      <c r="D56" s="145" t="n">
        <f aca="false">CUSTO_M2_FACHADA_ENVID_ENC</f>
        <v>0</v>
      </c>
      <c r="E56" s="145" t="n">
        <f aca="false">CUSTO_M2_FACHADA_ENVID_SERV</f>
        <v>0</v>
      </c>
      <c r="F56" s="145" t="n">
        <f aca="false">CUSTO_M2_FACHADA_ENVID</f>
        <v>0</v>
      </c>
      <c r="G56" s="141" t="n">
        <f aca="false">AREA_FACHADA_ENVID_TOTAL*CUSTO_M2_FACHADA_ENVID</f>
        <v>0</v>
      </c>
    </row>
    <row r="57" s="170" customFormat="true" ht="16.5" hidden="false" customHeight="false" outlineLevel="0" collapsed="false">
      <c r="B57" s="181" t="s">
        <v>40</v>
      </c>
      <c r="C57" s="202" t="n">
        <f aca="false">AREA_MED_HOSP_TOTAL</f>
        <v>0</v>
      </c>
      <c r="D57" s="143" t="n">
        <f aca="false">CUSTO_M2_AREA_HOSPITALAR_ENC</f>
        <v>0</v>
      </c>
      <c r="E57" s="143" t="n">
        <f aca="false">CUSTO_M2_AREA_HOSPITALAR_SERV</f>
        <v>0</v>
      </c>
      <c r="F57" s="143" t="n">
        <f aca="false">CUSTO_M2_AREA_MED_HOSP</f>
        <v>0</v>
      </c>
      <c r="G57" s="140" t="n">
        <f aca="false">AREA_MED_HOSP_TOTAL*CUSTO_M2_AREA_MED_HOSP</f>
        <v>0</v>
      </c>
    </row>
    <row r="58" s="170" customFormat="true" ht="16.5" hidden="false" customHeight="false" outlineLevel="0" collapsed="false">
      <c r="B58" s="204" t="s">
        <v>248</v>
      </c>
      <c r="C58" s="204"/>
      <c r="D58" s="204"/>
      <c r="E58" s="204"/>
      <c r="F58" s="204"/>
      <c r="G58" s="205" t="n">
        <f aca="false">SUM(G53:G57)</f>
        <v>74885.78</v>
      </c>
    </row>
  </sheetData>
  <sheetProtection sheet="true" objects="true" scenarios="true"/>
  <mergeCells count="44">
    <mergeCell ref="B1:H1"/>
    <mergeCell ref="B2:F2"/>
    <mergeCell ref="B4:H4"/>
    <mergeCell ref="B5:H5"/>
    <mergeCell ref="B7:H7"/>
    <mergeCell ref="B8:H9"/>
    <mergeCell ref="B10:B11"/>
    <mergeCell ref="C10:C11"/>
    <mergeCell ref="D10:D11"/>
    <mergeCell ref="E10:E11"/>
    <mergeCell ref="B16:H17"/>
    <mergeCell ref="B18:B19"/>
    <mergeCell ref="C18:C19"/>
    <mergeCell ref="D18:D19"/>
    <mergeCell ref="E18:E19"/>
    <mergeCell ref="B24:H25"/>
    <mergeCell ref="B26:B28"/>
    <mergeCell ref="C26:C28"/>
    <mergeCell ref="D26:D28"/>
    <mergeCell ref="E26:E28"/>
    <mergeCell ref="F26:F28"/>
    <mergeCell ref="G26:G28"/>
    <mergeCell ref="H26:H28"/>
    <mergeCell ref="B31:G31"/>
    <mergeCell ref="B33:H33"/>
    <mergeCell ref="B34:B36"/>
    <mergeCell ref="C34:C36"/>
    <mergeCell ref="D34:D36"/>
    <mergeCell ref="E34:E36"/>
    <mergeCell ref="F34:F36"/>
    <mergeCell ref="G34:G36"/>
    <mergeCell ref="H34:H36"/>
    <mergeCell ref="B39:G39"/>
    <mergeCell ref="B41:H41"/>
    <mergeCell ref="B42:B43"/>
    <mergeCell ref="C42:C43"/>
    <mergeCell ref="D42:D43"/>
    <mergeCell ref="E42:E43"/>
    <mergeCell ref="B48:E48"/>
    <mergeCell ref="B50:B52"/>
    <mergeCell ref="C50:C51"/>
    <mergeCell ref="D50:F51"/>
    <mergeCell ref="G50:G51"/>
    <mergeCell ref="B58:F58"/>
  </mergeCells>
  <printOptions headings="false" gridLines="false" gridLinesSet="true" horizontalCentered="false" verticalCentered="false"/>
  <pageMargins left="0.511805555555556" right="0.511805555555556" top="0.370138888888889" bottom="1.22013888888889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H36"/>
  <sheetViews>
    <sheetView showFormulas="false" showGridLines="true" showRowColHeaders="true" showZeros="true" rightToLeft="false" tabSelected="false" showOutlineSymbols="true" defaultGridColor="true" view="normal" topLeftCell="A16" colorId="64" zoomScale="100" zoomScaleNormal="100" zoomScalePageLayoutView="100" workbookViewId="0">
      <selection pane="topLeft" activeCell="D36" activeCellId="0" sqref="D36"/>
    </sheetView>
  </sheetViews>
  <sheetFormatPr defaultColWidth="9.1484375" defaultRowHeight="14.25" zeroHeight="false" outlineLevelRow="0" outlineLevelCol="0"/>
  <cols>
    <col collapsed="false" customWidth="true" hidden="false" outlineLevel="0" max="1" min="1" style="206" width="1.71"/>
    <col collapsed="false" customWidth="true" hidden="false" outlineLevel="0" max="2" min="2" style="206" width="6"/>
    <col collapsed="false" customWidth="true" hidden="false" outlineLevel="0" max="3" min="3" style="206" width="33.86"/>
    <col collapsed="false" customWidth="true" hidden="false" outlineLevel="0" max="4" min="4" style="206" width="20.85"/>
    <col collapsed="false" customWidth="true" hidden="false" outlineLevel="0" max="5" min="5" style="206" width="19.29"/>
    <col collapsed="false" customWidth="true" hidden="false" outlineLevel="0" max="6" min="6" style="206" width="18.57"/>
    <col collapsed="false" customWidth="true" hidden="false" outlineLevel="0" max="7" min="7" style="206" width="17.71"/>
    <col collapsed="false" customWidth="true" hidden="false" outlineLevel="0" max="8" min="8" style="206" width="21.71"/>
    <col collapsed="false" customWidth="false" hidden="false" outlineLevel="0" max="16384" min="9" style="206" width="9.14"/>
  </cols>
  <sheetData>
    <row r="1" s="1" customFormat="true" ht="20.25" hidden="false" customHeight="true" outlineLevel="0" collapsed="false">
      <c r="B1" s="120" t="str">
        <f aca="false">RAMO</f>
        <v>RAMO: MINISTÉRIO PÚBLICO FEDERAL – MPF</v>
      </c>
      <c r="C1" s="120"/>
      <c r="D1" s="120"/>
      <c r="E1" s="120"/>
      <c r="F1" s="120"/>
    </row>
    <row r="2" s="1" customFormat="true" ht="17.35" hidden="false" customHeight="false" outlineLevel="0" collapsed="false">
      <c r="B2" s="121" t="str">
        <f aca="false">UG</f>
        <v>UNIDADE GESTORA (SIGLA): 200090 (PRPE) </v>
      </c>
      <c r="C2" s="121"/>
      <c r="D2" s="121"/>
      <c r="E2" s="122" t="s">
        <v>3</v>
      </c>
      <c r="F2" s="123" t="n">
        <f aca="false">IF(DATA_DO_ORCAMENTO_ESTIMATIVO="","",DATA_DO_ORCAMENTO_ESTIMATIVO)</f>
        <v>45859</v>
      </c>
    </row>
    <row r="3" s="1" customFormat="true" ht="16.5" hidden="false" customHeight="true" outlineLevel="0" collapsed="false">
      <c r="B3" s="6"/>
      <c r="C3" s="6"/>
      <c r="D3" s="6"/>
      <c r="E3" s="6"/>
      <c r="F3" s="6"/>
    </row>
    <row r="4" s="1" customFormat="true" ht="17.35" hidden="false" customHeight="false" outlineLevel="0" collapsed="false">
      <c r="B4" s="207" t="s">
        <v>255</v>
      </c>
      <c r="C4" s="207"/>
      <c r="D4" s="207"/>
      <c r="E4" s="207"/>
      <c r="F4" s="207"/>
      <c r="G4" s="207"/>
    </row>
    <row r="5" s="1" customFormat="true" ht="61.15" hidden="false" customHeight="false" outlineLevel="0" collapsed="false">
      <c r="B5" s="27" t="s">
        <v>256</v>
      </c>
      <c r="C5" s="27" t="s">
        <v>50</v>
      </c>
      <c r="D5" s="15" t="s">
        <v>257</v>
      </c>
      <c r="E5" s="15" t="s">
        <v>258</v>
      </c>
      <c r="F5" s="15" t="s">
        <v>259</v>
      </c>
      <c r="G5" s="15" t="s">
        <v>260</v>
      </c>
    </row>
    <row r="6" s="1" customFormat="true" ht="14.25" hidden="false" customHeight="false" outlineLevel="0" collapsed="false">
      <c r="B6" s="27" t="s">
        <v>261</v>
      </c>
      <c r="C6" s="208" t="str">
        <f aca="false">ENCARREGADO_DE_LIMPEZA</f>
        <v>Encarregado de Limpeza</v>
      </c>
      <c r="D6" s="209" t="str">
        <f aca="false">IF(LOCAL_DE_EXECUCAO="","",LOCAL_DE_EXECUCAO)</f>
        <v/>
      </c>
      <c r="E6" s="209" t="str">
        <f aca="false">IF(QTDE_DE_ENC&lt;1,"",QTDE_DE_ENC)</f>
        <v/>
      </c>
      <c r="F6" s="210" t="str">
        <f aca="false">IF(QTDE_DE_ENC&lt;1,"",ENCARREGADOS!VALOR_TOTAL_ENC)</f>
        <v/>
      </c>
      <c r="G6" s="211" t="str">
        <f aca="false">IF(QTDE_DE_ENC&lt;1,"",QTDE_DE_ENC*ENCARREGADOS!VALOR_TOTAL_ENC)</f>
        <v/>
      </c>
    </row>
    <row r="7" s="1" customFormat="true" ht="16.4" hidden="false" customHeight="false" outlineLevel="0" collapsed="false">
      <c r="B7" s="15" t="s">
        <v>262</v>
      </c>
      <c r="C7" s="212" t="str">
        <f aca="false">SERVENTE</f>
        <v>Servente</v>
      </c>
      <c r="D7" s="196" t="str">
        <f aca="false">IF(LOCAL_DE_EXECUCAO="","",LOCAL_DE_EXECUCAO)</f>
        <v/>
      </c>
      <c r="E7" s="196" t="n">
        <f aca="false">IF(QTDE_DE_SERV="","",QTDE_DE_SERV)</f>
        <v>19</v>
      </c>
      <c r="F7" s="186" t="n">
        <f aca="false">IF(QTDE_DE_SERV="","",VALOR_TOTAL_SERV)</f>
        <v>4066.32</v>
      </c>
      <c r="G7" s="141" t="n">
        <f aca="false">IF(QTDE_DE_SERV&lt;1,"",QTDE_DE_SERV*VALOR_TOTAL_SERV)</f>
        <v>77260.08</v>
      </c>
    </row>
    <row r="8" s="1" customFormat="true" ht="16.4" hidden="false" customHeight="false" outlineLevel="0" collapsed="false">
      <c r="B8" s="15" t="s">
        <v>263</v>
      </c>
      <c r="C8" s="208" t="str">
        <f aca="false">SERVENTE_AREA_HOSPITALAR</f>
        <v>Servente - Área Médico Hospitalar</v>
      </c>
      <c r="D8" s="209" t="str">
        <f aca="false">IF(LOCAL_DE_EXECUCAO="","",LOCAL_DE_EXECUCAO)</f>
        <v/>
      </c>
      <c r="E8" s="209" t="str">
        <f aca="false">IF(QTDE_DE_SERV_HOSP&lt;1,"",QTDE_DE_SERV_HOSP)</f>
        <v/>
      </c>
      <c r="F8" s="210" t="str">
        <f aca="false">IF(QTDE_DE_SERV_HOSP&lt;1,"",VALOR_TOTAL_SERV_HOSP)</f>
        <v/>
      </c>
      <c r="G8" s="211" t="str">
        <f aca="false">IF(QTDE_DE_SERV_HOSP&lt;1,"",QTDE_DE_SERV_HOSP*VALOR_TOTAL_SERV_HOSP)</f>
        <v/>
      </c>
    </row>
    <row r="9" s="1" customFormat="true" ht="16.4" hidden="false" customHeight="true" outlineLevel="0" collapsed="false">
      <c r="B9" s="66" t="s">
        <v>264</v>
      </c>
      <c r="C9" s="66"/>
      <c r="D9" s="66"/>
      <c r="E9" s="213" t="n">
        <f aca="false">IF(QTDE_DE_SERV="","",SUM(E6:E8))</f>
        <v>19</v>
      </c>
      <c r="F9" s="214"/>
      <c r="G9" s="142" t="n">
        <f aca="false">IF(QTDE_DE_SERV&lt;1,"",SUM(G6:G8))</f>
        <v>77260.08</v>
      </c>
    </row>
    <row r="11" s="1" customFormat="true" ht="17.35" hidden="false" customHeight="false" outlineLevel="0" collapsed="false">
      <c r="B11" s="215" t="s">
        <v>265</v>
      </c>
      <c r="C11" s="215"/>
      <c r="D11" s="215"/>
      <c r="E11" s="215"/>
      <c r="F11" s="215"/>
    </row>
    <row r="12" customFormat="false" ht="49.5" hidden="false" customHeight="true" outlineLevel="0" collapsed="false">
      <c r="B12" s="27" t="s">
        <v>266</v>
      </c>
      <c r="C12" s="27"/>
      <c r="D12" s="15" t="str">
        <f aca="false">ENCARREGADO_DE_LIMPEZA</f>
        <v>Encarregado de Limpeza</v>
      </c>
      <c r="E12" s="15" t="str">
        <f aca="false">SERVENTE</f>
        <v>Servente</v>
      </c>
      <c r="F12" s="15" t="str">
        <f aca="false">SERVENTE_AREA_HOSPITALAR</f>
        <v>Servente - Área Médico Hospitalar</v>
      </c>
    </row>
    <row r="13" customFormat="false" ht="16.4" hidden="false" customHeight="true" outlineLevel="0" collapsed="false">
      <c r="B13" s="216" t="s">
        <v>267</v>
      </c>
      <c r="C13" s="216"/>
      <c r="D13" s="217" t="str">
        <f aca="false">IF(QTDE_DE_ENC&lt;1,"",ENCARREGADOS!SUBMOD_2_1_DEC_TERC_ADIC_FERIAS_ENC+ENCARREGADOS!SUBMOD_2_2_GPS_FGTS_ENC+ENCARREGADOS!MOD_3_PROVISAO_RESCISAO_ENC+ENCARREGADOS!SUBMOD_4_1_SUBSTITUTO_ENC)</f>
        <v/>
      </c>
      <c r="E13" s="217" t="n">
        <f aca="false">IF(QTDE_DE_SERV="","",SERVENTES!SUBMOD_2_1_DEC_TERC_ADIC_FERIAS_SERV+SERVENTES!SUBMOD_2_2_GPS_FGTS_SERV+SERVENTES!MOD_3_PROVISAO_RESCISAO_SERV+SERVENTES!SUBMOD_4_1_SUBSTITUTO_SERV)</f>
        <v>1116.19</v>
      </c>
      <c r="F13" s="217" t="str">
        <f aca="false">IF(QTDE_DE_SERV_HOSP&lt;1,"",'SERVENTES-AREA-HOSP'!SUBMOD_2_1_DEC_TERC_ADIC_FERIAS_SERV_HOSP+'SERVENTES-AREA-HOSP'!SUBMOD_2_2_GPS_FGTS_SERV_HOSP+'SERVENTES-AREA-HOSP'!MOD_3_PROVISAO_RESCISAO_SERV_HOSP+'SERVENTES-AREA-HOSP'!F70)</f>
        <v/>
      </c>
      <c r="G13" s="1"/>
    </row>
    <row r="14" customFormat="false" ht="16.4" hidden="false" customHeight="true" outlineLevel="0" collapsed="false">
      <c r="B14" s="34" t="s">
        <v>268</v>
      </c>
      <c r="C14" s="34"/>
      <c r="D14" s="218" t="str">
        <f aca="false">IF(QTDE_DE_ENC&lt;1,"",ENCARREGADOS!MOD_1_REMUNERACAO_ENC)</f>
        <v/>
      </c>
      <c r="E14" s="218" t="n">
        <f aca="false">IF(QTDE_DE_SERV="","",SERVENTES!MOD_1_REMUNERACAO_SERV)</f>
        <v>1528.65</v>
      </c>
      <c r="F14" s="218" t="str">
        <f aca="false">IF(QTDE_DE_SERV_HOSP&lt;1,"",'SERVENTES-AREA-HOSP'!MOD_1_REMUNERACAO_SERV_HOSP)</f>
        <v/>
      </c>
      <c r="G14" s="1"/>
    </row>
    <row r="15" customFormat="false" ht="31.3" hidden="false" customHeight="true" outlineLevel="0" collapsed="false">
      <c r="B15" s="115" t="s">
        <v>269</v>
      </c>
      <c r="C15" s="115"/>
      <c r="D15" s="219" t="str">
        <f aca="false">IF(QTDE_DE_ENC&lt;1,"",IFERROR(D13/D14,0))</f>
        <v/>
      </c>
      <c r="E15" s="219" t="n">
        <f aca="false">IF(QTDE_DE_SERV="","",IFERROR(E13/E14,0))</f>
        <v>0.7302</v>
      </c>
      <c r="F15" s="219" t="str">
        <f aca="false">IF(QTDE_DE_SERV_HOSP&lt;1,"",IFERROR(F13/F14,0))</f>
        <v/>
      </c>
    </row>
    <row r="16" customFormat="false" ht="14.25" hidden="false" customHeight="false" outlineLevel="0" collapsed="false">
      <c r="B16" s="220" t="s">
        <v>270</v>
      </c>
      <c r="C16" s="220"/>
      <c r="D16" s="220"/>
    </row>
    <row r="17" s="1" customFormat="true" ht="16.5" hidden="false" customHeight="true" outlineLevel="0" collapsed="false">
      <c r="B17" s="221" t="s">
        <v>271</v>
      </c>
      <c r="C17" s="221"/>
      <c r="D17" s="221"/>
      <c r="E17" s="221"/>
      <c r="F17" s="221"/>
      <c r="G17" s="221"/>
      <c r="H17" s="221"/>
    </row>
    <row r="18" customFormat="false" ht="14.25" hidden="false" customHeight="true" outlineLevel="0" collapsed="false">
      <c r="B18" s="221"/>
      <c r="C18" s="221"/>
      <c r="D18" s="221"/>
      <c r="E18" s="221"/>
      <c r="F18" s="221"/>
      <c r="G18" s="221"/>
      <c r="H18" s="221"/>
    </row>
    <row r="19" s="220" customFormat="true" ht="16.5" hidden="false" customHeight="true" outlineLevel="0" collapsed="false">
      <c r="B19" s="15" t="s">
        <v>249</v>
      </c>
      <c r="C19" s="15"/>
      <c r="D19" s="15" t="s">
        <v>272</v>
      </c>
      <c r="E19" s="15" t="s">
        <v>273</v>
      </c>
      <c r="F19" s="15"/>
      <c r="G19" s="44" t="s">
        <v>274</v>
      </c>
      <c r="H19" s="44"/>
    </row>
    <row r="20" customFormat="false" ht="14.25" hidden="false" customHeight="false" outlineLevel="0" collapsed="false">
      <c r="B20" s="15"/>
      <c r="C20" s="15"/>
      <c r="D20" s="15"/>
      <c r="E20" s="15"/>
      <c r="F20" s="15"/>
      <c r="G20" s="44"/>
      <c r="H20" s="44"/>
    </row>
    <row r="21" customFormat="false" ht="16.5" hidden="false" customHeight="true" outlineLevel="0" collapsed="false">
      <c r="B21" s="15"/>
      <c r="C21" s="15"/>
      <c r="D21" s="15"/>
      <c r="E21" s="27" t="str">
        <f aca="false">"PORTARIA Nº "&amp; PORTARIA_LIMITES</f>
        <v>PORTARIA Nº </v>
      </c>
      <c r="F21" s="27"/>
      <c r="G21" s="27" t="str">
        <f aca="false">"PORTARIA Nº "&amp; PORTARIA_LIMITES</f>
        <v>PORTARIA Nº </v>
      </c>
      <c r="H21" s="27"/>
    </row>
    <row r="22" customFormat="false" ht="33" hidden="false" customHeight="true" outlineLevel="0" collapsed="false">
      <c r="B22" s="35" t="s">
        <v>28</v>
      </c>
      <c r="C22" s="35"/>
      <c r="D22" s="143" t="n">
        <f aca="false">IF(CUSTO_M2_AREA_INTERNA&gt;0,CUSTO_M2_AREA_INTERNA,"")</f>
        <v>5.08</v>
      </c>
      <c r="E22" s="202" t="n">
        <f aca="false">IF(D23="","",IF(PRODUT_AREA_INTERNA=600,(SUMIF('LIMITES-SEGES-PORT-7-2015'!$A:$A,UF,'LIMITES-SEGES-PORT-7-2015'!C:C)),SUMIF('LIMITES-SEGES-PORT-213-2017'!$A:$A,UF,'LIMITES-SEGES-PORT-213-2017'!C:C)))</f>
        <v>3.7</v>
      </c>
      <c r="F22" s="219" t="str">
        <f aca="false">IF(D22="","Não se aplica",IF(AND(E22&lt;=D22,D22&gt;0),"SIM, está em conformidade.","NÃO, é inferior."))</f>
        <v>SIM, está em conformidade.</v>
      </c>
      <c r="G22" s="202" t="n">
        <f aca="false">IF(D22="","",IF(PRODUT_AREA_INTERNA=600,SUMIF('LIMITES-SEGES-PORT-7-2015'!$A:$A,UF,'LIMITES-SEGES-PORT-7-2015'!D:D),SUMIF('LIMITES-SEGES-PORT-213-2017'!$A:$A,UF,'LIMITES-SEGES-PORT-213-2017'!D:D)))</f>
        <v>4.45</v>
      </c>
      <c r="H22" s="222" t="str">
        <f aca="false">IF(D22="","Não se aplica",IF(D22&lt;=G22,"SIM, está em conformidade.","NÃO, é superior."))</f>
        <v>NÃO, é superior.</v>
      </c>
    </row>
    <row r="23" customFormat="false" ht="33" hidden="false" customHeight="true" outlineLevel="0" collapsed="false">
      <c r="B23" s="35" t="s">
        <v>30</v>
      </c>
      <c r="C23" s="35"/>
      <c r="D23" s="145" t="n">
        <f aca="false">IF(CUSTO_M2_AREA_EXTERNA&gt;0,CUSTO_M2_AREA_EXTERNA,"")</f>
        <v>2.26</v>
      </c>
      <c r="E23" s="203" t="n">
        <f aca="false">IF(D23="","",IF(PRODUT_AREA_EXTERNA=1200,SUMIF('LIMITES-SEGES-PORT-7-2015'!$A:$A,UF,'LIMITES-SEGES-PORT-7-2015'!E:E),SUMIF('LIMITES-SEGES-PORT-213-2017'!$A:$A,UF,'LIMITES-SEGES-PORT-213-2017'!G:G)))</f>
        <v>1.64</v>
      </c>
      <c r="F23" s="219" t="str">
        <f aca="false">IF(D23="","Não se aplica",IF(AND(E23&lt;=D23,D23&gt;0),"SIM, está em conformidade.", "NÃO, é inferior."))</f>
        <v>SIM, está em conformidade.</v>
      </c>
      <c r="G23" s="203" t="n">
        <f aca="false">IF(D23="","",IF(PRODUT_AREA_EXTERNA=1200,SUMIF('LIMITES-SEGES-PORT-7-2015'!$A:$A,UF,'LIMITES-SEGES-PORT-7-2015'!F:F),SUMIF('LIMITES-SEGES-PORT-213-2017'!$A:$A,UF,'LIMITES-SEGES-PORT-213-2017'!H:H)))</f>
        <v>1.98</v>
      </c>
      <c r="H23" s="222" t="str">
        <f aca="false">IF(D23="","Não se aplica",IF(D23&lt;=G23,"SIM, está em conformidade.","NÃO, é superior."))</f>
        <v>NÃO, é superior.</v>
      </c>
    </row>
    <row r="24" customFormat="false" ht="32.25" hidden="false" customHeight="true" outlineLevel="0" collapsed="false">
      <c r="B24" s="35" t="s">
        <v>33</v>
      </c>
      <c r="C24" s="35"/>
      <c r="D24" s="143" t="str">
        <f aca="false">IF(CUSTO_M2_ESQ_EXTERNA&gt;0,CUSTO_M2_ESQ_EXTERNA,"")</f>
        <v/>
      </c>
      <c r="E24" s="202" t="str">
        <f aca="false">IF(D24="","",IF(PRODUT_AREA_ESQ_EXTERNA=220,SUMIF('LIMITES-SEGES-PORT-7-2015'!$A:$A,UF,'LIMITES-SEGES-PORT-7-2015'!G:G),SUMIF('LIMITES-SEGES-PORT-213-2017'!$A:$A,UF,'LIMITES-SEGES-PORT-213-2017'!K:K)))</f>
        <v/>
      </c>
      <c r="F24" s="219" t="str">
        <f aca="false">IF(D24="","Não se aplica",IF(E24&lt;=D24,"SIM, está em conformidade.","NÃO, é inferior."))</f>
        <v>Não se aplica</v>
      </c>
      <c r="G24" s="202" t="str">
        <f aca="false">IF(D24="","",IF(PRODUT_AREA_ESQ_EXTERNA=220,SUMIF('LIMITES-SEGES-PORT-7-2015'!$A:$A,UF,'LIMITES-SEGES-PORT-7-2015'!H:H),SUMIF('LIMITES-SEGES-PORT-213-2017'!$A:$A,UF,'LIMITES-SEGES-PORT-213-2017'!L:L)))</f>
        <v/>
      </c>
      <c r="H24" s="222" t="str">
        <f aca="false">IF(D24="","Não se aplica",IF(D24&lt;=G24,"SIM, está em conformidade.","NÃO, é superior."))</f>
        <v>Não se aplica</v>
      </c>
    </row>
    <row r="25" customFormat="false" ht="32.25" hidden="false" customHeight="true" outlineLevel="0" collapsed="false">
      <c r="B25" s="35" t="s">
        <v>36</v>
      </c>
      <c r="C25" s="35"/>
      <c r="D25" s="145" t="str">
        <f aca="false">IF(CUSTO_M2_FACHADA_ENVID&gt;0,CUSTO_M2_FACHADA_ENVID,"")</f>
        <v/>
      </c>
      <c r="E25" s="203" t="str">
        <f aca="false">IF(D25="","",IF(PRODUT_AREA_FACHADA_ENVID=110,SUMIF('LIMITES-SEGES-PORT-7-2015'!$A:$A,UF,'LIMITES-SEGES-PORT-7-2015'!I:I),SUMIF('LIMITES-SEGES-PORT-213-2017'!$A:$A,UF,'LIMITES-SEGES-PORT-213-2017'!O:O)))</f>
        <v/>
      </c>
      <c r="F25" s="219" t="str">
        <f aca="false">IF(D25="","Não se aplica",IF(E25&lt;=D25,"SIM, está em conformidade.","NÃO, é inferior."))</f>
        <v>Não se aplica</v>
      </c>
      <c r="G25" s="203" t="str">
        <f aca="false">IF(D25="","",IF(PRODUT_AREA_FACHADA_ENVID=110,SUMIF('LIMITES-SEGES-PORT-7-2015'!$A:$A,UF,'LIMITES-SEGES-PORT-7-2015'!J:J),SUMIF('LIMITES-SEGES-PORT-213-2017'!$A:$A,UF,'LIMITES-SEGES-PORT-213-2017'!P:P)))</f>
        <v/>
      </c>
      <c r="H25" s="222" t="str">
        <f aca="false">IF(D25="","Não se aplica",IF(D25&lt;=G25,"SIM, está em conformidade.","NÃO, é superior."))</f>
        <v>Não se aplica</v>
      </c>
    </row>
    <row r="27" s="1" customFormat="true" ht="16.5" hidden="false" customHeight="true" outlineLevel="0" collapsed="false">
      <c r="B27" s="223" t="s">
        <v>275</v>
      </c>
      <c r="C27" s="223"/>
      <c r="D27" s="223"/>
      <c r="E27" s="223"/>
      <c r="F27" s="223"/>
      <c r="G27" s="223"/>
      <c r="H27" s="223"/>
    </row>
    <row r="28" customFormat="false" ht="14.25" hidden="false" customHeight="true" outlineLevel="0" collapsed="false">
      <c r="B28" s="223"/>
      <c r="C28" s="223"/>
      <c r="D28" s="223"/>
      <c r="E28" s="223"/>
      <c r="F28" s="223"/>
      <c r="G28" s="223"/>
      <c r="H28" s="223"/>
    </row>
    <row r="29" customFormat="false" ht="65.25" hidden="false" customHeight="true" outlineLevel="0" collapsed="false">
      <c r="B29" s="27" t="s">
        <v>256</v>
      </c>
      <c r="C29" s="27" t="s">
        <v>50</v>
      </c>
      <c r="D29" s="27"/>
      <c r="E29" s="15" t="s">
        <v>276</v>
      </c>
      <c r="F29" s="15" t="s">
        <v>277</v>
      </c>
      <c r="G29" s="15" t="s">
        <v>278</v>
      </c>
      <c r="H29" s="15"/>
    </row>
    <row r="30" customFormat="false" ht="16.5" hidden="false" customHeight="true" outlineLevel="0" collapsed="false">
      <c r="B30" s="27" t="s">
        <v>261</v>
      </c>
      <c r="C30" s="208" t="str">
        <f aca="false">ENCARREGADO_DE_LIMPEZA</f>
        <v>Encarregado de Limpeza</v>
      </c>
      <c r="D30" s="208"/>
      <c r="E30" s="211" t="str">
        <f aca="false">IF(QTDE_DE_ENC=0,"",QTDE_DE_ENC*ENCARREGADOS!VALOR_TOTAL_ENC)</f>
        <v/>
      </c>
      <c r="F30" s="210" t="str">
        <f aca="false">IF(QTDE_DE_ENC=0,"",IFERROR(AREA_INTERNA_TOTAL*CUSTO_M2_AREA_INTERNA_ENC+AREA_EXTERNA_TOTAL*CUSTO_M2_AREA_EXTERNA_ENC+AREA_ESQ_EXTERNA_TOTAL*CUSTO_M2_ESQ_EXTERNA_ENC+AREA_FACHADA_ENVID_TOTAL*CUSTO_M2_FACHADA_ENVID_ENC,""))</f>
        <v/>
      </c>
      <c r="G30" s="219" t="str">
        <f aca="false">IF(E32=0,"Não se aplica",IF(AND(E32&lt;=F32,E32&gt;0),"SIM, está em conformidade.","NÃO, é superior. Verifique se o quantitativo de serventes está em conformidade com a área a ser limpa."))</f>
        <v>NÃO, é superior. Verifique se o quantitativo de serventes está em conformidade com a área a ser limpa.</v>
      </c>
      <c r="H30" s="219"/>
    </row>
    <row r="31" customFormat="false" ht="16.4" hidden="false" customHeight="false" outlineLevel="0" collapsed="false">
      <c r="B31" s="15" t="s">
        <v>262</v>
      </c>
      <c r="C31" s="212" t="str">
        <f aca="false">SERVENTE</f>
        <v>Servente</v>
      </c>
      <c r="D31" s="212"/>
      <c r="E31" s="141" t="n">
        <f aca="false">IF(QTDE_DE_SERV=0,"",QTDE_DE_SERV*VALOR_TOTAL_SERV)</f>
        <v>77260.08</v>
      </c>
      <c r="F31" s="186" t="n">
        <f aca="false">IF(QTDE_DE_SERV=0,"",IFERROR(AREA_INTERNA_TOTAL*CUSTO_M2_AREA_INTERNA_SERV+AREA_EXTERNA_TOTAL*CUSTO_M2_AREA_EXTERNA_SERV+AREA_ESQ_EXTERNA_TOTAL*CUSTO_M2_ESQ_EXTERNA_SERV+AREA_FACHADA_ENVID_TOTAL*CUSTO_M2_FACHADA_ENVID_SERV,""))</f>
        <v>74885.78</v>
      </c>
      <c r="G31" s="219"/>
      <c r="H31" s="219"/>
    </row>
    <row r="32" customFormat="false" ht="16.5" hidden="false" customHeight="true" outlineLevel="0" collapsed="false">
      <c r="B32" s="224" t="s">
        <v>279</v>
      </c>
      <c r="C32" s="224"/>
      <c r="D32" s="224"/>
      <c r="E32" s="142" t="n">
        <f aca="false">IF(QTDE_DE_SERV=0,"",SUM(E30:E31))</f>
        <v>77260.08</v>
      </c>
      <c r="F32" s="214" t="n">
        <f aca="false">IF(QTDE_DE_SERV=0,"",IFERROR(VALOR_LIMITES_AREA_INTERNA+VALOR_LIMITES_AREA_EXTERNA+VALOR_LIMITES_ESQ_EXTERNA+VALOR_LIMITES_FACHADA_ENVID,""))</f>
        <v>74885.78</v>
      </c>
      <c r="G32" s="219"/>
      <c r="H32" s="219"/>
    </row>
    <row r="33" customFormat="false" ht="14.25" hidden="false" customHeight="false" outlineLevel="0" collapsed="false">
      <c r="F33" s="225"/>
    </row>
    <row r="36" customFormat="false" ht="14.25" hidden="false" customHeight="false" outlineLevel="0" collapsed="false">
      <c r="G36" s="225"/>
    </row>
  </sheetData>
  <sheetProtection sheet="true" objects="true" scenarios="true"/>
  <mergeCells count="26">
    <mergeCell ref="B1:F1"/>
    <mergeCell ref="B2:D2"/>
    <mergeCell ref="B4:G4"/>
    <mergeCell ref="B9:D9"/>
    <mergeCell ref="B12:C12"/>
    <mergeCell ref="B13:C13"/>
    <mergeCell ref="B14:C14"/>
    <mergeCell ref="B15:C15"/>
    <mergeCell ref="B17:H18"/>
    <mergeCell ref="B19:C21"/>
    <mergeCell ref="D19:D21"/>
    <mergeCell ref="E19:F20"/>
    <mergeCell ref="G19:H20"/>
    <mergeCell ref="E21:F21"/>
    <mergeCell ref="G21:H21"/>
    <mergeCell ref="B22:C22"/>
    <mergeCell ref="B23:C23"/>
    <mergeCell ref="B24:C24"/>
    <mergeCell ref="B25:C25"/>
    <mergeCell ref="B27:H28"/>
    <mergeCell ref="C29:D29"/>
    <mergeCell ref="G29:H29"/>
    <mergeCell ref="C30:D30"/>
    <mergeCell ref="G30:H32"/>
    <mergeCell ref="C31:D31"/>
    <mergeCell ref="B32:D32"/>
  </mergeCells>
  <printOptions headings="false" gridLines="false" gridLinesSet="true" horizontalCentered="false" verticalCentered="false"/>
  <pageMargins left="0.170138888888889" right="0.170138888888889" top="0.329861111111111" bottom="0.170138888888889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O3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R31" activeCellId="0" sqref="R31"/>
    </sheetView>
  </sheetViews>
  <sheetFormatPr defaultColWidth="9.1484375" defaultRowHeight="16.5" zeroHeight="false" outlineLevelRow="0" outlineLevelCol="0"/>
  <cols>
    <col collapsed="false" customWidth="false" hidden="false" outlineLevel="0" max="1" min="1" style="226" width="9.14"/>
    <col collapsed="false" customWidth="true" hidden="false" outlineLevel="0" max="2" min="2" style="226" width="13.57"/>
    <col collapsed="false" customWidth="true" hidden="false" outlineLevel="0" max="10" min="3" style="226" width="9.71"/>
    <col collapsed="false" customWidth="false" hidden="false" outlineLevel="0" max="16384" min="11" style="226" width="9.14"/>
  </cols>
  <sheetData>
    <row r="1" customFormat="false" ht="16.5" hidden="false" customHeight="false" outlineLevel="0" collapsed="false">
      <c r="A1" s="227" t="s">
        <v>280</v>
      </c>
      <c r="B1" s="227"/>
      <c r="C1" s="227"/>
      <c r="D1" s="227"/>
      <c r="E1" s="227"/>
      <c r="F1" s="227"/>
      <c r="G1" s="227"/>
      <c r="H1" s="228"/>
      <c r="J1" s="229" t="s">
        <v>281</v>
      </c>
    </row>
    <row r="2" customFormat="false" ht="28.5" hidden="false" customHeight="true" outlineLevel="0" collapsed="false">
      <c r="A2" s="42" t="s">
        <v>282</v>
      </c>
      <c r="B2" s="15" t="s">
        <v>283</v>
      </c>
      <c r="C2" s="230" t="s">
        <v>284</v>
      </c>
      <c r="D2" s="230"/>
      <c r="E2" s="230" t="s">
        <v>285</v>
      </c>
      <c r="F2" s="230"/>
      <c r="G2" s="230" t="s">
        <v>286</v>
      </c>
      <c r="H2" s="230"/>
      <c r="I2" s="230" t="s">
        <v>287</v>
      </c>
      <c r="J2" s="230"/>
    </row>
    <row r="3" customFormat="false" ht="12" hidden="false" customHeight="true" outlineLevel="0" collapsed="false">
      <c r="A3" s="42"/>
      <c r="B3" s="15"/>
      <c r="C3" s="231" t="n">
        <v>600</v>
      </c>
      <c r="D3" s="232" t="s">
        <v>288</v>
      </c>
      <c r="E3" s="231" t="n">
        <v>1200</v>
      </c>
      <c r="F3" s="232" t="s">
        <v>288</v>
      </c>
      <c r="G3" s="231" t="n">
        <v>220</v>
      </c>
      <c r="H3" s="232" t="s">
        <v>288</v>
      </c>
      <c r="I3" s="231" t="n">
        <v>110</v>
      </c>
      <c r="J3" s="232" t="s">
        <v>288</v>
      </c>
    </row>
    <row r="4" customFormat="false" ht="33.75" hidden="false" customHeight="true" outlineLevel="0" collapsed="false">
      <c r="A4" s="42"/>
      <c r="B4" s="15"/>
      <c r="C4" s="233" t="s">
        <v>273</v>
      </c>
      <c r="D4" s="233" t="s">
        <v>274</v>
      </c>
      <c r="E4" s="233" t="s">
        <v>273</v>
      </c>
      <c r="F4" s="233" t="s">
        <v>274</v>
      </c>
      <c r="G4" s="233" t="s">
        <v>273</v>
      </c>
      <c r="H4" s="233" t="s">
        <v>274</v>
      </c>
      <c r="I4" s="233" t="s">
        <v>273</v>
      </c>
      <c r="J4" s="233" t="s">
        <v>274</v>
      </c>
    </row>
    <row r="5" customFormat="false" ht="16.5" hidden="false" customHeight="false" outlineLevel="0" collapsed="false">
      <c r="A5" s="27" t="s">
        <v>289</v>
      </c>
      <c r="B5" s="234" t="n">
        <v>42979</v>
      </c>
      <c r="C5" s="235" t="n">
        <v>4.76</v>
      </c>
      <c r="D5" s="235" t="n">
        <v>5.73</v>
      </c>
      <c r="E5" s="235" t="n">
        <v>2.38</v>
      </c>
      <c r="F5" s="235" t="n">
        <v>2.86</v>
      </c>
      <c r="G5" s="235" t="n">
        <v>1.1</v>
      </c>
      <c r="H5" s="235" t="n">
        <v>1.32</v>
      </c>
      <c r="I5" s="235" t="n">
        <v>0.24</v>
      </c>
      <c r="J5" s="235" t="n">
        <v>0.29</v>
      </c>
    </row>
    <row r="6" customFormat="false" ht="16.5" hidden="false" customHeight="false" outlineLevel="0" collapsed="false">
      <c r="A6" s="27" t="s">
        <v>290</v>
      </c>
      <c r="B6" s="234" t="n">
        <v>43805</v>
      </c>
      <c r="C6" s="203" t="n">
        <v>5.18</v>
      </c>
      <c r="D6" s="203" t="n">
        <v>6.23</v>
      </c>
      <c r="E6" s="203" t="n">
        <v>2.59</v>
      </c>
      <c r="F6" s="203" t="n">
        <v>3.12</v>
      </c>
      <c r="G6" s="203" t="n">
        <v>1.2</v>
      </c>
      <c r="H6" s="203" t="n">
        <v>1.44</v>
      </c>
      <c r="I6" s="203" t="n">
        <v>0.25</v>
      </c>
      <c r="J6" s="203" t="n">
        <v>0.3</v>
      </c>
      <c r="N6" s="236"/>
    </row>
    <row r="7" customFormat="false" ht="16.5" hidden="false" customHeight="false" outlineLevel="0" collapsed="false">
      <c r="A7" s="27" t="s">
        <v>291</v>
      </c>
      <c r="B7" s="234" t="n">
        <v>43643</v>
      </c>
      <c r="C7" s="235" t="n">
        <v>3.87</v>
      </c>
      <c r="D7" s="235" t="n">
        <v>4.66</v>
      </c>
      <c r="E7" s="235" t="n">
        <v>2.58</v>
      </c>
      <c r="F7" s="235" t="n">
        <v>3.11</v>
      </c>
      <c r="G7" s="235" t="n">
        <v>1.72</v>
      </c>
      <c r="H7" s="235" t="n">
        <v>2.07</v>
      </c>
      <c r="I7" s="235" t="n">
        <v>1.15</v>
      </c>
      <c r="J7" s="235" t="n">
        <v>1.38</v>
      </c>
      <c r="N7" s="237"/>
    </row>
    <row r="8" customFormat="false" ht="16.5" hidden="false" customHeight="false" outlineLevel="0" collapsed="false">
      <c r="A8" s="27" t="s">
        <v>292</v>
      </c>
      <c r="B8" s="234" t="n">
        <v>43349</v>
      </c>
      <c r="C8" s="203" t="n">
        <v>4.98</v>
      </c>
      <c r="D8" s="203" t="n">
        <v>5.99</v>
      </c>
      <c r="E8" s="203" t="n">
        <v>2.49</v>
      </c>
      <c r="F8" s="203" t="n">
        <v>3</v>
      </c>
      <c r="G8" s="203" t="n">
        <v>1.15</v>
      </c>
      <c r="H8" s="203" t="n">
        <v>1.39</v>
      </c>
      <c r="I8" s="203" t="n">
        <v>0.24</v>
      </c>
      <c r="J8" s="203" t="n">
        <v>0.29</v>
      </c>
      <c r="N8" s="236"/>
    </row>
    <row r="9" customFormat="false" ht="16.5" hidden="false" customHeight="false" outlineLevel="0" collapsed="false">
      <c r="A9" s="27" t="s">
        <v>293</v>
      </c>
      <c r="B9" s="234" t="n">
        <v>42899</v>
      </c>
      <c r="C9" s="235" t="n">
        <v>4.65</v>
      </c>
      <c r="D9" s="235" t="n">
        <v>5.63</v>
      </c>
      <c r="E9" s="235" t="n">
        <v>2.32</v>
      </c>
      <c r="F9" s="235" t="n">
        <v>2.81</v>
      </c>
      <c r="G9" s="235" t="n">
        <v>1.07</v>
      </c>
      <c r="H9" s="235" t="n">
        <v>1.3</v>
      </c>
      <c r="I9" s="235" t="n">
        <v>0.22</v>
      </c>
      <c r="J9" s="235" t="n">
        <v>0.27</v>
      </c>
      <c r="N9" s="237"/>
    </row>
    <row r="10" customFormat="false" ht="16.5" hidden="false" customHeight="false" outlineLevel="0" collapsed="false">
      <c r="A10" s="27" t="s">
        <v>294</v>
      </c>
      <c r="B10" s="234" t="n">
        <v>43690</v>
      </c>
      <c r="C10" s="203" t="n">
        <v>5.71</v>
      </c>
      <c r="D10" s="203" t="n">
        <v>6.87</v>
      </c>
      <c r="E10" s="203" t="n">
        <v>2.85</v>
      </c>
      <c r="F10" s="203" t="n">
        <v>3.44</v>
      </c>
      <c r="G10" s="203" t="n">
        <v>1.32</v>
      </c>
      <c r="H10" s="203" t="n">
        <v>1.59</v>
      </c>
      <c r="I10" s="203" t="n">
        <v>0.27</v>
      </c>
      <c r="J10" s="203" t="n">
        <v>0.32</v>
      </c>
      <c r="N10" s="236"/>
    </row>
    <row r="11" customFormat="false" ht="16.5" hidden="false" customHeight="false" outlineLevel="0" collapsed="false">
      <c r="A11" s="27" t="s">
        <v>295</v>
      </c>
      <c r="B11" s="234" t="n">
        <v>43593</v>
      </c>
      <c r="C11" s="235" t="n">
        <v>5.6</v>
      </c>
      <c r="D11" s="235" t="n">
        <v>6.73</v>
      </c>
      <c r="E11" s="235" t="n">
        <v>3.73</v>
      </c>
      <c r="F11" s="235" t="n">
        <v>4.48</v>
      </c>
      <c r="G11" s="235" t="n">
        <v>2.49</v>
      </c>
      <c r="H11" s="235" t="n">
        <v>2.99</v>
      </c>
      <c r="I11" s="235" t="n">
        <v>1.66</v>
      </c>
      <c r="J11" s="235" t="n">
        <v>1.99</v>
      </c>
      <c r="N11" s="238"/>
    </row>
    <row r="12" customFormat="false" ht="16.5" hidden="false" customHeight="false" outlineLevel="0" collapsed="false">
      <c r="A12" s="27" t="s">
        <v>296</v>
      </c>
      <c r="B12" s="234" t="n">
        <v>43234</v>
      </c>
      <c r="C12" s="203" t="n">
        <v>6.06</v>
      </c>
      <c r="D12" s="203" t="n">
        <v>7.3</v>
      </c>
      <c r="E12" s="203" t="n">
        <v>3.03</v>
      </c>
      <c r="F12" s="203" t="n">
        <v>3.65</v>
      </c>
      <c r="G12" s="203" t="n">
        <v>1.4</v>
      </c>
      <c r="H12" s="203" t="n">
        <v>1.69</v>
      </c>
      <c r="I12" s="203" t="n">
        <v>0.28</v>
      </c>
      <c r="J12" s="203" t="n">
        <v>0.34</v>
      </c>
      <c r="N12" s="239"/>
    </row>
    <row r="13" customFormat="false" ht="16.5" hidden="false" customHeight="false" outlineLevel="0" collapsed="false">
      <c r="A13" s="27" t="s">
        <v>297</v>
      </c>
      <c r="B13" s="234" t="n">
        <v>43690</v>
      </c>
      <c r="C13" s="235" t="n">
        <v>5.26</v>
      </c>
      <c r="D13" s="235" t="n">
        <v>6.33</v>
      </c>
      <c r="E13" s="235" t="n">
        <v>2.63</v>
      </c>
      <c r="F13" s="235" t="n">
        <v>3.17</v>
      </c>
      <c r="G13" s="235" t="n">
        <v>1.22</v>
      </c>
      <c r="H13" s="235" t="n">
        <v>1.46</v>
      </c>
      <c r="I13" s="235" t="n">
        <v>0.41</v>
      </c>
      <c r="J13" s="235" t="n">
        <v>0.49</v>
      </c>
      <c r="N13" s="238"/>
    </row>
    <row r="14" customFormat="false" ht="16.5" hidden="false" customHeight="false" outlineLevel="0" collapsed="false">
      <c r="A14" s="27" t="s">
        <v>298</v>
      </c>
      <c r="B14" s="234" t="n">
        <v>43349</v>
      </c>
      <c r="C14" s="203" t="n">
        <v>5.25</v>
      </c>
      <c r="D14" s="203" t="n">
        <v>6.32</v>
      </c>
      <c r="E14" s="203" t="n">
        <v>2.63</v>
      </c>
      <c r="F14" s="203" t="n">
        <v>3.16</v>
      </c>
      <c r="G14" s="203" t="n">
        <v>1.21</v>
      </c>
      <c r="H14" s="203" t="n">
        <v>1.46</v>
      </c>
      <c r="I14" s="203" t="n">
        <v>0.25</v>
      </c>
      <c r="J14" s="203" t="n">
        <v>0.3</v>
      </c>
      <c r="N14" s="239"/>
    </row>
    <row r="15" customFormat="false" ht="16.5" hidden="false" customHeight="false" outlineLevel="0" collapsed="false">
      <c r="A15" s="27" t="s">
        <v>299</v>
      </c>
      <c r="B15" s="234" t="n">
        <v>43643</v>
      </c>
      <c r="C15" s="235" t="n">
        <v>5.85</v>
      </c>
      <c r="D15" s="235" t="n">
        <v>7.04</v>
      </c>
      <c r="E15" s="235" t="n">
        <v>2.92</v>
      </c>
      <c r="F15" s="235" t="n">
        <v>3.52</v>
      </c>
      <c r="G15" s="235" t="n">
        <v>1.35</v>
      </c>
      <c r="H15" s="235" t="n">
        <v>1.63</v>
      </c>
      <c r="I15" s="235" t="n">
        <v>0.3</v>
      </c>
      <c r="J15" s="235" t="n">
        <v>0.36</v>
      </c>
      <c r="N15" s="238"/>
    </row>
    <row r="16" customFormat="false" ht="16.5" hidden="false" customHeight="false" outlineLevel="0" collapsed="false">
      <c r="A16" s="27" t="s">
        <v>300</v>
      </c>
      <c r="B16" s="234" t="n">
        <v>43643</v>
      </c>
      <c r="C16" s="203" t="n">
        <v>4.92</v>
      </c>
      <c r="D16" s="203" t="n">
        <v>5.92</v>
      </c>
      <c r="E16" s="203" t="n">
        <v>2.46</v>
      </c>
      <c r="F16" s="203" t="n">
        <v>2.96</v>
      </c>
      <c r="G16" s="203" t="n">
        <v>1.14</v>
      </c>
      <c r="H16" s="203" t="n">
        <v>1.37</v>
      </c>
      <c r="I16" s="203" t="n">
        <v>0.24</v>
      </c>
      <c r="J16" s="203" t="n">
        <v>0.29</v>
      </c>
      <c r="N16" s="239"/>
    </row>
    <row r="17" customFormat="false" ht="16.5" hidden="false" customHeight="false" outlineLevel="0" collapsed="false">
      <c r="A17" s="27" t="s">
        <v>301</v>
      </c>
      <c r="B17" s="234" t="n">
        <v>43805</v>
      </c>
      <c r="C17" s="235" t="n">
        <v>5.82</v>
      </c>
      <c r="D17" s="235" t="n">
        <v>7.01</v>
      </c>
      <c r="E17" s="235" t="n">
        <v>2.91</v>
      </c>
      <c r="F17" s="235" t="n">
        <v>3.5</v>
      </c>
      <c r="G17" s="235" t="n">
        <v>1.34</v>
      </c>
      <c r="H17" s="235" t="n">
        <v>1.62</v>
      </c>
      <c r="I17" s="235" t="n">
        <v>0.31</v>
      </c>
      <c r="J17" s="235" t="n">
        <v>0.37</v>
      </c>
      <c r="N17" s="238"/>
      <c r="O17" s="236"/>
    </row>
    <row r="18" customFormat="false" ht="16.5" hidden="false" customHeight="false" outlineLevel="0" collapsed="false">
      <c r="A18" s="27" t="s">
        <v>302</v>
      </c>
      <c r="B18" s="234" t="n">
        <v>43690</v>
      </c>
      <c r="C18" s="203" t="n">
        <v>5.59</v>
      </c>
      <c r="D18" s="203" t="n">
        <v>6.72</v>
      </c>
      <c r="E18" s="203" t="n">
        <v>2.79</v>
      </c>
      <c r="F18" s="203" t="n">
        <v>3.36</v>
      </c>
      <c r="G18" s="203" t="n">
        <v>1.29</v>
      </c>
      <c r="H18" s="203" t="n">
        <v>1.55</v>
      </c>
      <c r="I18" s="203" t="n">
        <v>0.27</v>
      </c>
      <c r="J18" s="203" t="n">
        <v>0.33</v>
      </c>
      <c r="N18" s="239"/>
      <c r="O18" s="237"/>
    </row>
    <row r="19" customFormat="false" ht="16.5" hidden="false" customHeight="false" outlineLevel="0" collapsed="false">
      <c r="A19" s="27" t="s">
        <v>303</v>
      </c>
      <c r="B19" s="234" t="n">
        <v>43761</v>
      </c>
      <c r="C19" s="235" t="n">
        <v>4.98</v>
      </c>
      <c r="D19" s="235" t="n">
        <v>6</v>
      </c>
      <c r="E19" s="235" t="n">
        <v>2.49</v>
      </c>
      <c r="F19" s="235" t="n">
        <v>3</v>
      </c>
      <c r="G19" s="235" t="n">
        <v>1.15</v>
      </c>
      <c r="H19" s="235" t="n">
        <v>1.39</v>
      </c>
      <c r="I19" s="235" t="n">
        <v>0.24</v>
      </c>
      <c r="J19" s="235" t="n">
        <v>0.29</v>
      </c>
      <c r="O19" s="236"/>
    </row>
    <row r="20" customFormat="false" ht="16.5" hidden="false" customHeight="false" outlineLevel="0" collapsed="false">
      <c r="A20" s="27" t="s">
        <v>39</v>
      </c>
      <c r="B20" s="234" t="n">
        <v>43287</v>
      </c>
      <c r="C20" s="203" t="n">
        <v>4.93</v>
      </c>
      <c r="D20" s="203" t="n">
        <v>5.94</v>
      </c>
      <c r="E20" s="203" t="n">
        <v>2.47</v>
      </c>
      <c r="F20" s="203" t="n">
        <v>2.97</v>
      </c>
      <c r="G20" s="203" t="n">
        <v>1.14</v>
      </c>
      <c r="H20" s="203" t="n">
        <v>1.37</v>
      </c>
      <c r="I20" s="203" t="n">
        <v>0.24</v>
      </c>
      <c r="J20" s="203" t="n">
        <v>0.28</v>
      </c>
      <c r="O20" s="237"/>
    </row>
    <row r="21" customFormat="false" ht="16.5" hidden="false" customHeight="false" outlineLevel="0" collapsed="false">
      <c r="A21" s="27" t="s">
        <v>304</v>
      </c>
      <c r="B21" s="234" t="n">
        <v>43805</v>
      </c>
      <c r="C21" s="235" t="n">
        <v>5.23</v>
      </c>
      <c r="D21" s="235" t="n">
        <v>6.29</v>
      </c>
      <c r="E21" s="235" t="n">
        <v>2.61</v>
      </c>
      <c r="F21" s="235" t="n">
        <v>3.15</v>
      </c>
      <c r="G21" s="235" t="n">
        <v>1.21</v>
      </c>
      <c r="H21" s="235" t="n">
        <v>1.46</v>
      </c>
      <c r="I21" s="235" t="n">
        <v>0.28</v>
      </c>
      <c r="J21" s="235" t="n">
        <v>0.34</v>
      </c>
      <c r="O21" s="236"/>
    </row>
    <row r="22" customFormat="false" ht="16.5" hidden="false" customHeight="false" outlineLevel="0" collapsed="false">
      <c r="A22" s="27" t="s">
        <v>305</v>
      </c>
      <c r="B22" s="234" t="n">
        <v>43234</v>
      </c>
      <c r="C22" s="203" t="n">
        <v>5.81</v>
      </c>
      <c r="D22" s="203" t="n">
        <v>7</v>
      </c>
      <c r="E22" s="203" t="n">
        <v>2.91</v>
      </c>
      <c r="F22" s="203" t="n">
        <v>3.5</v>
      </c>
      <c r="G22" s="203" t="n">
        <v>1.34</v>
      </c>
      <c r="H22" s="203" t="n">
        <v>1.62</v>
      </c>
      <c r="I22" s="203" t="n">
        <v>0.28</v>
      </c>
      <c r="J22" s="203" t="n">
        <v>0.33</v>
      </c>
      <c r="O22" s="237"/>
    </row>
    <row r="23" customFormat="false" ht="16.5" hidden="false" customHeight="false" outlineLevel="0" collapsed="false">
      <c r="A23" s="27" t="s">
        <v>306</v>
      </c>
      <c r="B23" s="234" t="n">
        <v>43336</v>
      </c>
      <c r="C23" s="235" t="n">
        <v>5.95</v>
      </c>
      <c r="D23" s="235" t="n">
        <v>7.16</v>
      </c>
      <c r="E23" s="235" t="n">
        <v>2.97</v>
      </c>
      <c r="F23" s="235" t="n">
        <v>3.58</v>
      </c>
      <c r="G23" s="235" t="n">
        <v>1.37</v>
      </c>
      <c r="H23" s="235" t="n">
        <v>1.66</v>
      </c>
      <c r="I23" s="235" t="n">
        <v>0.34</v>
      </c>
      <c r="J23" s="235" t="n">
        <v>0.28</v>
      </c>
      <c r="O23" s="236"/>
    </row>
    <row r="24" customFormat="false" ht="16.5" hidden="false" customHeight="false" outlineLevel="0" collapsed="false">
      <c r="A24" s="27" t="s">
        <v>307</v>
      </c>
      <c r="B24" s="234" t="n">
        <v>43349</v>
      </c>
      <c r="C24" s="203" t="n">
        <v>4.63</v>
      </c>
      <c r="D24" s="203" t="n">
        <v>5.57</v>
      </c>
      <c r="E24" s="203" t="n">
        <v>2.31</v>
      </c>
      <c r="F24" s="203" t="n">
        <v>2.79</v>
      </c>
      <c r="G24" s="203" t="n">
        <v>1.07</v>
      </c>
      <c r="H24" s="203" t="n">
        <v>1.29</v>
      </c>
      <c r="I24" s="203" t="n">
        <v>0.22</v>
      </c>
      <c r="J24" s="203" t="n">
        <v>0.26</v>
      </c>
      <c r="O24" s="237"/>
    </row>
    <row r="25" customFormat="false" ht="16.5" hidden="false" customHeight="false" outlineLevel="0" collapsed="false">
      <c r="A25" s="27" t="s">
        <v>308</v>
      </c>
      <c r="B25" s="234" t="n">
        <v>43336</v>
      </c>
      <c r="C25" s="235" t="n">
        <v>5.59</v>
      </c>
      <c r="D25" s="235" t="n">
        <v>6.73</v>
      </c>
      <c r="E25" s="235" t="n">
        <v>2.79</v>
      </c>
      <c r="F25" s="235" t="n">
        <v>3.36</v>
      </c>
      <c r="G25" s="235" t="n">
        <v>1.29</v>
      </c>
      <c r="H25" s="235" t="n">
        <v>1.55</v>
      </c>
      <c r="I25" s="235" t="n">
        <v>0.3</v>
      </c>
      <c r="J25" s="235" t="n">
        <v>0.36</v>
      </c>
    </row>
    <row r="26" customFormat="false" ht="16.5" hidden="false" customHeight="false" outlineLevel="0" collapsed="false">
      <c r="A26" s="27" t="s">
        <v>309</v>
      </c>
      <c r="B26" s="234" t="n">
        <v>42989</v>
      </c>
      <c r="C26" s="203" t="n">
        <v>5.45</v>
      </c>
      <c r="D26" s="203" t="n">
        <v>6.6</v>
      </c>
      <c r="E26" s="203" t="n">
        <v>2.72</v>
      </c>
      <c r="F26" s="203" t="n">
        <v>3.3</v>
      </c>
      <c r="G26" s="203" t="n">
        <v>1.26</v>
      </c>
      <c r="H26" s="203" t="n">
        <v>1.53</v>
      </c>
      <c r="I26" s="203" t="n">
        <v>0.31</v>
      </c>
      <c r="J26" s="203" t="n">
        <v>0.38</v>
      </c>
    </row>
    <row r="27" customFormat="false" ht="16.5" hidden="false" customHeight="false" outlineLevel="0" collapsed="false">
      <c r="A27" s="27" t="s">
        <v>310</v>
      </c>
      <c r="B27" s="234" t="n">
        <v>43643</v>
      </c>
      <c r="C27" s="235" t="n">
        <v>6.28</v>
      </c>
      <c r="D27" s="235" t="n">
        <v>7.56</v>
      </c>
      <c r="E27" s="235" t="n">
        <v>3.14</v>
      </c>
      <c r="F27" s="235" t="n">
        <v>3.78</v>
      </c>
      <c r="G27" s="235" t="n">
        <v>1.45</v>
      </c>
      <c r="H27" s="235" t="n">
        <v>1.75</v>
      </c>
      <c r="I27" s="235" t="n">
        <v>0.3</v>
      </c>
      <c r="J27" s="235" t="n">
        <v>0.36</v>
      </c>
    </row>
    <row r="28" customFormat="false" ht="16.5" hidden="false" customHeight="false" outlineLevel="0" collapsed="false">
      <c r="A28" s="27" t="s">
        <v>311</v>
      </c>
      <c r="B28" s="234" t="n">
        <v>43690</v>
      </c>
      <c r="C28" s="203" t="n">
        <v>6.61</v>
      </c>
      <c r="D28" s="203" t="n">
        <v>7.96</v>
      </c>
      <c r="E28" s="203" t="n">
        <v>3.3</v>
      </c>
      <c r="F28" s="203" t="n">
        <v>3.98</v>
      </c>
      <c r="G28" s="203" t="n">
        <v>1.53</v>
      </c>
      <c r="H28" s="203" t="n">
        <v>1.84</v>
      </c>
      <c r="I28" s="203" t="n">
        <v>0.32</v>
      </c>
      <c r="J28" s="203" t="n">
        <v>0.39</v>
      </c>
    </row>
    <row r="29" customFormat="false" ht="16.5" hidden="false" customHeight="false" outlineLevel="0" collapsed="false">
      <c r="A29" s="27" t="s">
        <v>312</v>
      </c>
      <c r="B29" s="234" t="n">
        <v>43761</v>
      </c>
      <c r="C29" s="235" t="n">
        <v>4.92</v>
      </c>
      <c r="D29" s="235" t="n">
        <v>5.93</v>
      </c>
      <c r="E29" s="235" t="n">
        <v>2.46</v>
      </c>
      <c r="F29" s="235" t="n">
        <v>2.96</v>
      </c>
      <c r="G29" s="235" t="n">
        <v>1.14</v>
      </c>
      <c r="H29" s="235" t="n">
        <v>1.37</v>
      </c>
      <c r="I29" s="235" t="n">
        <v>0.23</v>
      </c>
      <c r="J29" s="235" t="n">
        <v>0.28</v>
      </c>
    </row>
    <row r="30" customFormat="false" ht="16.5" hidden="false" customHeight="false" outlineLevel="0" collapsed="false">
      <c r="A30" s="27" t="s">
        <v>313</v>
      </c>
      <c r="B30" s="234" t="n">
        <v>43761</v>
      </c>
      <c r="C30" s="203" t="n">
        <v>5.98</v>
      </c>
      <c r="D30" s="203" t="n">
        <v>7.2</v>
      </c>
      <c r="E30" s="203" t="n">
        <v>2.99</v>
      </c>
      <c r="F30" s="203" t="n">
        <v>3.6</v>
      </c>
      <c r="G30" s="203" t="n">
        <v>1.38</v>
      </c>
      <c r="H30" s="203" t="n">
        <v>1.67</v>
      </c>
      <c r="I30" s="203" t="n">
        <v>0.36</v>
      </c>
      <c r="J30" s="203" t="n">
        <v>0.43</v>
      </c>
    </row>
    <row r="31" customFormat="false" ht="16.5" hidden="false" customHeight="false" outlineLevel="0" collapsed="false">
      <c r="A31" s="27" t="s">
        <v>314</v>
      </c>
      <c r="B31" s="234" t="n">
        <v>43761</v>
      </c>
      <c r="C31" s="235" t="n">
        <v>5.75</v>
      </c>
      <c r="D31" s="235" t="n">
        <v>6.92</v>
      </c>
      <c r="E31" s="235" t="n">
        <v>2.88</v>
      </c>
      <c r="F31" s="235" t="n">
        <v>3.46</v>
      </c>
      <c r="G31" s="235" t="n">
        <v>1.33</v>
      </c>
      <c r="H31" s="235" t="n">
        <v>1.6</v>
      </c>
      <c r="I31" s="235" t="n">
        <v>0.43</v>
      </c>
      <c r="J31" s="235" t="n">
        <v>0.52</v>
      </c>
    </row>
    <row r="32" customFormat="false" ht="16.5" hidden="false" customHeight="false" outlineLevel="0" collapsed="false">
      <c r="A32" s="27" t="s">
        <v>315</v>
      </c>
      <c r="B32" s="27"/>
      <c r="C32" s="25" t="n">
        <f aca="false">AVERAGE(C5:C31)</f>
        <v>5.39</v>
      </c>
      <c r="D32" s="25" t="n">
        <f aca="false">AVERAGE(D5:D31)</f>
        <v>6.49</v>
      </c>
      <c r="E32" s="25" t="n">
        <f aca="false">AVERAGE(E5:E31)</f>
        <v>2.75</v>
      </c>
      <c r="F32" s="25" t="n">
        <f aca="false">AVERAGE(F5:F31)</f>
        <v>3.32</v>
      </c>
      <c r="G32" s="25" t="n">
        <f aca="false">AVERAGE(G5:G31)</f>
        <v>1.32</v>
      </c>
      <c r="H32" s="25" t="n">
        <f aca="false">AVERAGE(H5:H31)</f>
        <v>1.59</v>
      </c>
      <c r="I32" s="25" t="n">
        <f aca="false">AVERAGE(I5:I31)</f>
        <v>0.37</v>
      </c>
      <c r="J32" s="25" t="n">
        <f aca="false">AVERAGE(J5:J31)</f>
        <v>0.44</v>
      </c>
    </row>
    <row r="33" customFormat="false" ht="16.5" hidden="false" customHeight="true" outlineLevel="0" collapsed="false">
      <c r="A33" s="15" t="s">
        <v>316</v>
      </c>
      <c r="B33" s="15"/>
      <c r="C33" s="25" t="n">
        <f aca="false">SMALL(C5:C31,27)</f>
        <v>6.61</v>
      </c>
      <c r="D33" s="25" t="n">
        <f aca="false">SMALL(D5:D31,27)</f>
        <v>7.96</v>
      </c>
      <c r="E33" s="25" t="n">
        <f aca="false">SMALL(E5:E31,27)</f>
        <v>3.73</v>
      </c>
      <c r="F33" s="25" t="n">
        <f aca="false">SMALL(F5:F31,27)</f>
        <v>4.48</v>
      </c>
      <c r="G33" s="25" t="n">
        <f aca="false">SMALL(G5:G31,27)</f>
        <v>2.49</v>
      </c>
      <c r="H33" s="25" t="n">
        <f aca="false">SMALL(H5:H31,27)</f>
        <v>2.99</v>
      </c>
      <c r="I33" s="25" t="n">
        <f aca="false">SMALL(I5:I31,27)</f>
        <v>1.66</v>
      </c>
      <c r="J33" s="25" t="n">
        <f aca="false">SMALL(J5:J31,27)</f>
        <v>1.99</v>
      </c>
    </row>
    <row r="34" customFormat="false" ht="16.5" hidden="false" customHeight="true" outlineLevel="0" collapsed="false">
      <c r="A34" s="15" t="s">
        <v>317</v>
      </c>
      <c r="B34" s="15"/>
      <c r="C34" s="25" t="n">
        <f aca="false">LARGE(C6:C32,27)</f>
        <v>3.87</v>
      </c>
      <c r="D34" s="25" t="n">
        <f aca="false">LARGE(D6:D32,27)</f>
        <v>4.66</v>
      </c>
      <c r="E34" s="25" t="n">
        <f aca="false">LARGE(E6:E32,27)</f>
        <v>2.31</v>
      </c>
      <c r="F34" s="25" t="n">
        <f aca="false">LARGE(F6:F32,27)</f>
        <v>2.79</v>
      </c>
      <c r="G34" s="25" t="n">
        <f aca="false">LARGE(G6:G32,27)</f>
        <v>1.07</v>
      </c>
      <c r="H34" s="25" t="n">
        <f aca="false">LARGE(H6:H32,27)</f>
        <v>1.29</v>
      </c>
      <c r="I34" s="25" t="n">
        <f aca="false">LARGE(I6:I32,27)</f>
        <v>0.22</v>
      </c>
      <c r="J34" s="25" t="n">
        <f aca="false">LARGE(J6:J32,27)</f>
        <v>0.26</v>
      </c>
    </row>
  </sheetData>
  <sheetProtection sheet="true" objects="true" scenarios="true"/>
  <mergeCells count="9">
    <mergeCell ref="A2:A4"/>
    <mergeCell ref="B2:B4"/>
    <mergeCell ref="C2:D2"/>
    <mergeCell ref="E2:F2"/>
    <mergeCell ref="G2:H2"/>
    <mergeCell ref="I2:J2"/>
    <mergeCell ref="A32:B32"/>
    <mergeCell ref="A33:B33"/>
    <mergeCell ref="A34:B34"/>
  </mergeCells>
  <printOptions headings="false" gridLines="false" gridLinesSet="true" horizontalCentered="true" verticalCentered="true"/>
  <pageMargins left="0.157638888888889" right="0.157638888888889" top="0.170138888888889" bottom="0.170138888888889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107</TotalTime>
  <Application>LibreOffice/7.6.4.1$Windows_X86_64 LibreOffice_project/e19e193f88cd6c0525a17fb7a176ed8e6a3e2aa1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2014-02-07T18:14:59Z</dcterms:created>
  <dc:creator>André Felipe Flores da Silva</dc:creator>
  <dc:description/>
  <dc:language>pt-BR</dc:language>
  <cp:lastModifiedBy/>
  <cp:lastPrinted>2024-04-10T21:42:31Z</cp:lastPrinted>
  <dcterms:modified xsi:type="dcterms:W3CDTF">2025-08-05T11:41:40Z</dcterms:modified>
  <cp:revision>26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